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6ECCE6FC-4B9B-44C5-BF2F-814F8186779A}" xr6:coauthVersionLast="47" xr6:coauthVersionMax="47" xr10:uidLastSave="{00000000-0000-0000-0000-000000000000}"/>
  <bookViews>
    <workbookView xWindow="-26460" yWindow="1155" windowWidth="17280" windowHeight="8970" tabRatio="821"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Q621" i="3" l="1"/>
  <c r="E84" i="4"/>
  <c r="I8" i="9"/>
  <c r="E53" i="9"/>
  <c r="G53" i="9" s="1"/>
  <c r="E44" i="25"/>
  <c r="E43" i="25"/>
  <c r="E42" i="25"/>
  <c r="F42" i="18"/>
  <c r="F93" i="18"/>
  <c r="F92" i="18"/>
  <c r="F91" i="18"/>
  <c r="F90" i="18"/>
  <c r="F89" i="18"/>
  <c r="F88" i="18"/>
  <c r="F87" i="18"/>
  <c r="F85" i="18"/>
  <c r="F82" i="18"/>
  <c r="F78" i="18"/>
  <c r="F77" i="18"/>
  <c r="F67" i="18"/>
  <c r="F66" i="18"/>
  <c r="F65" i="18"/>
  <c r="F64" i="18"/>
  <c r="F63" i="18"/>
  <c r="F51" i="18"/>
  <c r="F50" i="18"/>
  <c r="F49" i="18"/>
  <c r="F48" i="18"/>
  <c r="F47" i="18"/>
  <c r="F46" i="18"/>
  <c r="F45" i="18"/>
  <c r="F44" i="18"/>
  <c r="F40" i="18"/>
  <c r="F39" i="18"/>
  <c r="F36" i="18"/>
  <c r="F35" i="18"/>
  <c r="F34" i="18"/>
  <c r="F33" i="18"/>
  <c r="F32" i="18"/>
  <c r="F31" i="18"/>
  <c r="F30" i="18"/>
  <c r="F29" i="18"/>
  <c r="F28" i="18"/>
  <c r="C97" i="18"/>
  <c r="C93" i="18"/>
  <c r="C92" i="18"/>
  <c r="C91" i="18"/>
  <c r="C90" i="18"/>
  <c r="C89" i="18"/>
  <c r="C88" i="18"/>
  <c r="C87" i="18"/>
  <c r="C86" i="18"/>
  <c r="C85" i="18"/>
  <c r="C82" i="18"/>
  <c r="C78" i="18"/>
  <c r="C77" i="18"/>
  <c r="C74" i="18"/>
  <c r="C73" i="18"/>
  <c r="C72" i="18"/>
  <c r="C71" i="18"/>
  <c r="C70" i="18"/>
  <c r="C67" i="18"/>
  <c r="C63" i="18"/>
  <c r="C56" i="18"/>
  <c r="C55" i="18"/>
  <c r="C51" i="18"/>
  <c r="C50" i="18"/>
  <c r="C49" i="18"/>
  <c r="C48" i="18"/>
  <c r="C47" i="18"/>
  <c r="C46" i="18"/>
  <c r="C45" i="18"/>
  <c r="C44" i="18"/>
  <c r="C42" i="18"/>
  <c r="C40" i="18"/>
  <c r="C39" i="18"/>
  <c r="C36" i="18"/>
  <c r="C35" i="18"/>
  <c r="C34" i="18"/>
  <c r="C33" i="18"/>
  <c r="C32" i="18"/>
  <c r="C31" i="18"/>
  <c r="C30" i="18"/>
  <c r="C29" i="18"/>
  <c r="C28" i="18"/>
  <c r="C4" i="18"/>
  <c r="S43" i="4"/>
  <c r="S94" i="4"/>
  <c r="S93" i="4"/>
  <c r="S92" i="4"/>
  <c r="S91" i="4"/>
  <c r="S90" i="4"/>
  <c r="S89" i="4"/>
  <c r="S88" i="4"/>
  <c r="S86" i="4"/>
  <c r="S83" i="4"/>
  <c r="S79" i="4"/>
  <c r="S78" i="4"/>
  <c r="S68" i="4"/>
  <c r="S67" i="4"/>
  <c r="S66" i="4"/>
  <c r="S65" i="4"/>
  <c r="S64" i="4"/>
  <c r="S52" i="4"/>
  <c r="S51" i="4"/>
  <c r="S50" i="4"/>
  <c r="S49" i="4"/>
  <c r="S48" i="4"/>
  <c r="S47" i="4"/>
  <c r="S46" i="4"/>
  <c r="S45" i="4"/>
  <c r="S40" i="4"/>
  <c r="S36" i="4"/>
  <c r="S35" i="4"/>
  <c r="S34" i="4"/>
  <c r="S33" i="4"/>
  <c r="S32" i="4"/>
  <c r="S31" i="4"/>
  <c r="S30" i="4"/>
  <c r="S29" i="4"/>
  <c r="E98" i="4"/>
  <c r="E92" i="4"/>
  <c r="E91" i="4"/>
  <c r="E90" i="4"/>
  <c r="E89" i="4"/>
  <c r="E88" i="4"/>
  <c r="E87" i="4"/>
  <c r="E86" i="4"/>
  <c r="E85" i="4"/>
  <c r="E83" i="4"/>
  <c r="E82" i="4"/>
  <c r="E79" i="4"/>
  <c r="E78" i="4"/>
  <c r="E75" i="4"/>
  <c r="E74" i="4"/>
  <c r="E73" i="4"/>
  <c r="E72" i="4"/>
  <c r="E71" i="4"/>
  <c r="E68" i="4"/>
  <c r="E67" i="4"/>
  <c r="E66" i="4"/>
  <c r="E65" i="4"/>
  <c r="E64" i="4"/>
  <c r="E57" i="4"/>
  <c r="E56" i="4"/>
  <c r="E52" i="4"/>
  <c r="E51" i="4"/>
  <c r="E50" i="4"/>
  <c r="E49" i="4"/>
  <c r="E48" i="4"/>
  <c r="E47" i="4"/>
  <c r="E46" i="4"/>
  <c r="E45" i="4"/>
  <c r="E43" i="4"/>
  <c r="E41" i="4"/>
  <c r="E40" i="4"/>
  <c r="E37" i="4"/>
  <c r="E36" i="4"/>
  <c r="E35" i="4"/>
  <c r="E34" i="4"/>
  <c r="E33" i="4"/>
  <c r="E32" i="4"/>
  <c r="E31" i="4"/>
  <c r="E30" i="4"/>
  <c r="E29" i="4"/>
  <c r="E4" i="4"/>
  <c r="AA924" i="3"/>
  <c r="AA923" i="3"/>
  <c r="AA896" i="3"/>
  <c r="AC865" i="3"/>
  <c r="W832" i="3"/>
  <c r="E587" i="6"/>
  <c r="E584" i="6"/>
  <c r="E582" i="6"/>
  <c r="O702" i="3"/>
  <c r="O701" i="3"/>
  <c r="O700" i="3"/>
  <c r="O699" i="3"/>
  <c r="O698" i="3"/>
  <c r="O697" i="3"/>
  <c r="O696" i="3"/>
  <c r="O695"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8" i="3" s="1"/>
  <c r="BG627" i="3"/>
  <c r="BE730" i="3"/>
  <c r="BF695" i="3" s="1"/>
  <c r="BG695" i="3" s="1"/>
  <c r="AZ260" i="3"/>
  <c r="BO245" i="3" s="1"/>
  <c r="T269" i="3" s="1"/>
  <c r="Y22" i="5"/>
  <c r="AD22" i="5"/>
  <c r="AI22" i="5"/>
  <c r="T22" i="5"/>
  <c r="BF703" i="3" l="1"/>
  <c r="BG703" i="3" s="1"/>
  <c r="BF702" i="3"/>
  <c r="BG702" i="3" s="1"/>
  <c r="BF701" i="3"/>
  <c r="BG701" i="3" s="1"/>
  <c r="BF700" i="3"/>
  <c r="BG700" i="3" s="1"/>
  <c r="BF699" i="3"/>
  <c r="BG699" i="3" s="1"/>
  <c r="BF698" i="3"/>
  <c r="BG698" i="3" s="1"/>
  <c r="AZ729" i="3"/>
  <c r="BA729" i="3" s="1"/>
  <c r="BF697" i="3"/>
  <c r="BG697"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D88" i="15"/>
  <c r="B89" i="15"/>
  <c r="C89" i="15"/>
  <c r="D89" i="15"/>
  <c r="B90" i="15"/>
  <c r="C90" i="15"/>
  <c r="D90" i="15"/>
  <c r="B91" i="15"/>
  <c r="E91" i="15" s="1"/>
  <c r="C91" i="15"/>
  <c r="D91" i="15"/>
  <c r="B92" i="15"/>
  <c r="C92" i="15"/>
  <c r="E92" i="15" s="1"/>
  <c r="D92" i="15"/>
  <c r="B93" i="15"/>
  <c r="C93" i="15"/>
  <c r="E93" i="15" s="1"/>
  <c r="D93" i="15"/>
  <c r="B94" i="15"/>
  <c r="C94" i="15"/>
  <c r="E94" i="15"/>
  <c r="D94" i="15"/>
  <c r="B95" i="15"/>
  <c r="C95" i="15"/>
  <c r="E95" i="15"/>
  <c r="D95" i="15"/>
  <c r="D83" i="15"/>
  <c r="C83" i="15"/>
  <c r="E83" i="15" s="1"/>
  <c r="B83" i="15"/>
  <c r="B80" i="15"/>
  <c r="C80" i="15"/>
  <c r="E80" i="15" s="1"/>
  <c r="D80" i="15"/>
  <c r="D79" i="15"/>
  <c r="C79" i="15"/>
  <c r="E79" i="15" s="1"/>
  <c r="B79" i="15"/>
  <c r="B73" i="15"/>
  <c r="C73" i="15"/>
  <c r="D73" i="15"/>
  <c r="B74" i="15"/>
  <c r="E74" i="15"/>
  <c r="C74" i="15"/>
  <c r="D74" i="15"/>
  <c r="B75" i="15"/>
  <c r="C75" i="15"/>
  <c r="E75" i="15"/>
  <c r="D75" i="15"/>
  <c r="B76" i="15"/>
  <c r="C76" i="15"/>
  <c r="D76" i="15"/>
  <c r="D72" i="15"/>
  <c r="C72" i="15"/>
  <c r="E72" i="15" s="1"/>
  <c r="B72" i="15"/>
  <c r="B66" i="15"/>
  <c r="C66" i="15"/>
  <c r="E66" i="15"/>
  <c r="D66" i="15"/>
  <c r="B67" i="15"/>
  <c r="C67" i="15"/>
  <c r="D67" i="15"/>
  <c r="B68" i="15"/>
  <c r="C68" i="15"/>
  <c r="E68" i="15"/>
  <c r="D68" i="15"/>
  <c r="B69" i="15"/>
  <c r="C69" i="15"/>
  <c r="D69" i="15"/>
  <c r="D65" i="15"/>
  <c r="C65" i="15"/>
  <c r="E65" i="15" s="1"/>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D53" i="15"/>
  <c r="D46" i="15"/>
  <c r="C46" i="15"/>
  <c r="E46" i="15" s="1"/>
  <c r="B46" i="15"/>
  <c r="B44" i="15"/>
  <c r="C44" i="15"/>
  <c r="E44" i="15" s="1"/>
  <c r="D44" i="15"/>
  <c r="B42" i="15"/>
  <c r="C42" i="15"/>
  <c r="D42" i="15"/>
  <c r="D41" i="15"/>
  <c r="C41" i="15"/>
  <c r="E41" i="15" s="1"/>
  <c r="B41" i="15"/>
  <c r="B38" i="15"/>
  <c r="C38" i="15"/>
  <c r="E38" i="15" s="1"/>
  <c r="D38" i="15"/>
  <c r="B31" i="15"/>
  <c r="C31" i="15"/>
  <c r="D31" i="15"/>
  <c r="B32" i="15"/>
  <c r="C32" i="15"/>
  <c r="E32" i="15" s="1"/>
  <c r="D32" i="15"/>
  <c r="B33" i="15"/>
  <c r="E33" i="15" s="1"/>
  <c r="C33" i="15"/>
  <c r="D33" i="15"/>
  <c r="B34" i="15"/>
  <c r="E34" i="15" s="1"/>
  <c r="C34" i="15"/>
  <c r="D34" i="15"/>
  <c r="B35" i="15"/>
  <c r="C35" i="15"/>
  <c r="D35" i="15"/>
  <c r="B36" i="15"/>
  <c r="C36" i="15"/>
  <c r="D36" i="15"/>
  <c r="B37" i="15"/>
  <c r="C37" i="15"/>
  <c r="E37" i="15" s="1"/>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87" i="15"/>
  <c r="E67" i="15"/>
  <c r="E90" i="15"/>
  <c r="E89" i="15"/>
  <c r="E16" i="15"/>
  <c r="E7" i="15"/>
  <c r="E31" i="15"/>
  <c r="E51" i="15"/>
  <c r="E61" i="15"/>
  <c r="E88" i="15"/>
  <c r="E14" i="15"/>
  <c r="E21" i="15"/>
  <c r="E28" i="15"/>
  <c r="E8" i="15"/>
  <c r="E52" i="15"/>
  <c r="E48" i="15"/>
  <c r="E19" i="15"/>
  <c r="E42" i="15"/>
  <c r="E50" i="15"/>
  <c r="C12" i="15"/>
  <c r="B12" i="15"/>
  <c r="E6" i="15"/>
  <c r="E23" i="15"/>
  <c r="C9" i="15"/>
  <c r="E9" i="15" s="1"/>
  <c r="E11" i="15"/>
  <c r="E35" i="15"/>
  <c r="E36" i="15"/>
  <c r="E15" i="15"/>
  <c r="E10" i="15"/>
  <c r="E12"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B36" i="4"/>
  <c r="R36" i="4"/>
  <c r="R24" i="4"/>
  <c r="B24" i="4"/>
  <c r="G58" i="9"/>
  <c r="I53" i="9"/>
  <c r="I58"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c r="M57" i="9"/>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B43" i="15" s="1"/>
  <c r="C53" i="4"/>
  <c r="B52" i="18" s="1"/>
  <c r="C61" i="4"/>
  <c r="B61" i="4" s="1"/>
  <c r="C69" i="4"/>
  <c r="B68" i="18" s="1"/>
  <c r="C76" i="4"/>
  <c r="C80" i="4"/>
  <c r="B79" i="18" s="1"/>
  <c r="C95" i="4"/>
  <c r="C103" i="4"/>
  <c r="C104" i="15" s="1"/>
  <c r="C66" i="25"/>
  <c r="Y20" i="5"/>
  <c r="AI20" i="5"/>
  <c r="S26" i="4"/>
  <c r="S38" i="4"/>
  <c r="S42" i="4"/>
  <c r="S53" i="4"/>
  <c r="S69" i="4"/>
  <c r="S80" i="4"/>
  <c r="E79" i="18" s="1"/>
  <c r="F25" i="18"/>
  <c r="F37" i="18"/>
  <c r="F41" i="18"/>
  <c r="F52"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6" i="4" s="1"/>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C81" i="18" s="1"/>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E84" i="18" s="1"/>
  <c r="F84" i="18" s="1"/>
  <c r="R86" i="4"/>
  <c r="R87" i="4"/>
  <c r="R88" i="4"/>
  <c r="R89" i="4"/>
  <c r="R90" i="4"/>
  <c r="R91" i="4"/>
  <c r="R92" i="4"/>
  <c r="R93" i="4"/>
  <c r="R60" i="4"/>
  <c r="R59" i="4"/>
  <c r="R58" i="4"/>
  <c r="R57" i="4"/>
  <c r="R56" i="4"/>
  <c r="R52" i="4"/>
  <c r="R51" i="4"/>
  <c r="R50" i="4"/>
  <c r="R49" i="4"/>
  <c r="R48" i="4"/>
  <c r="R47" i="4"/>
  <c r="R53" i="4" s="1"/>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52" i="18"/>
  <c r="E68" i="18"/>
  <c r="H25" i="18"/>
  <c r="H37" i="18"/>
  <c r="H52" i="18"/>
  <c r="H94" i="18"/>
  <c r="H102"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AF1002" i="3" s="1"/>
  <c r="AJ1000" i="3" s="1"/>
  <c r="B85" i="4"/>
  <c r="B86" i="4"/>
  <c r="B87" i="4"/>
  <c r="B88" i="4"/>
  <c r="B89" i="4"/>
  <c r="B90" i="4"/>
  <c r="B91" i="4"/>
  <c r="B92" i="4"/>
  <c r="B93" i="4"/>
  <c r="B94" i="4"/>
  <c r="E95" i="4"/>
  <c r="G95" i="4"/>
  <c r="H95" i="4"/>
  <c r="B98" i="4"/>
  <c r="B99" i="4"/>
  <c r="R99" i="4"/>
  <c r="B100" i="4"/>
  <c r="R100" i="4"/>
  <c r="R102" i="4"/>
  <c r="E103" i="4"/>
  <c r="G103" i="4"/>
  <c r="H103" i="4"/>
  <c r="I103" i="4"/>
  <c r="J103" i="4"/>
  <c r="K103" i="4"/>
  <c r="K104" i="4" s="1"/>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G12" i="4"/>
  <c r="F12" i="4"/>
  <c r="C96" i="15"/>
  <c r="B27" i="15"/>
  <c r="D27" i="15"/>
  <c r="C27" i="15"/>
  <c r="C81" i="15"/>
  <c r="D81" i="15"/>
  <c r="B11" i="4"/>
  <c r="B76" i="4"/>
  <c r="B77" i="15"/>
  <c r="C77" i="15"/>
  <c r="D77" i="15"/>
  <c r="B8" i="4"/>
  <c r="B12" i="4" s="1"/>
  <c r="T62" i="4"/>
  <c r="C62" i="15"/>
  <c r="D62" i="15"/>
  <c r="B54" i="15"/>
  <c r="B11" i="18"/>
  <c r="G52" i="25"/>
  <c r="AB47" i="26"/>
  <c r="I61" i="18"/>
  <c r="I95" i="18"/>
  <c r="I103" i="18"/>
  <c r="I105" i="18"/>
  <c r="J61" i="18"/>
  <c r="J95" i="18"/>
  <c r="J103" i="18"/>
  <c r="J105" i="18"/>
  <c r="K12" i="4"/>
  <c r="B42" i="4"/>
  <c r="J12" i="4"/>
  <c r="R11" i="4"/>
  <c r="R8" i="4"/>
  <c r="R12" i="4" s="1"/>
  <c r="D12" i="15"/>
  <c r="M62" i="4"/>
  <c r="M96" i="4"/>
  <c r="M104" i="4"/>
  <c r="J62" i="4"/>
  <c r="J96" i="4" s="1"/>
  <c r="J104" i="4" s="1"/>
  <c r="C12" i="4"/>
  <c r="B12" i="18" s="1"/>
  <c r="R61" i="4"/>
  <c r="F62" i="4"/>
  <c r="F96" i="4" s="1"/>
  <c r="F104" i="4" s="1"/>
  <c r="O62" i="4"/>
  <c r="O96" i="4"/>
  <c r="O104" i="4"/>
  <c r="N62" i="4"/>
  <c r="N96" i="4"/>
  <c r="N104" i="4"/>
  <c r="D62" i="4"/>
  <c r="D96" i="4"/>
  <c r="D104" i="4" s="1"/>
  <c r="B75" i="18"/>
  <c r="B8" i="18"/>
  <c r="R26" i="4"/>
  <c r="L62" i="4"/>
  <c r="L96" i="4"/>
  <c r="L104" i="4"/>
  <c r="S62" i="4"/>
  <c r="H12" i="4"/>
  <c r="H11" i="18"/>
  <c r="Q62" i="4"/>
  <c r="Q96" i="4"/>
  <c r="Q104" i="4"/>
  <c r="K62" i="4"/>
  <c r="K96" i="4"/>
  <c r="I62" i="4"/>
  <c r="I96" i="4" s="1"/>
  <c r="I104" i="4" s="1"/>
  <c r="R42" i="4"/>
  <c r="T96" i="4"/>
  <c r="H61" i="18"/>
  <c r="M12" i="4"/>
  <c r="D12" i="18"/>
  <c r="P62" i="4"/>
  <c r="P96" i="4"/>
  <c r="P104" i="4"/>
  <c r="B69" i="4"/>
  <c r="G61" i="18"/>
  <c r="G95" i="18"/>
  <c r="G103" i="18"/>
  <c r="G105" i="18"/>
  <c r="D61" i="18"/>
  <c r="D95" i="18"/>
  <c r="D103" i="18"/>
  <c r="E77" i="15"/>
  <c r="H95" i="18"/>
  <c r="T104" i="4"/>
  <c r="H103" i="18"/>
  <c r="T106" i="4"/>
  <c r="H105" i="18"/>
  <c r="AD11" i="5"/>
  <c r="AD23" i="5" s="1"/>
  <c r="AD26" i="5" s="1"/>
  <c r="AI11" i="27"/>
  <c r="AI11" i="26"/>
  <c r="AD11" i="27"/>
  <c r="AD11" i="26"/>
  <c r="T24" i="27"/>
  <c r="T24" i="26"/>
  <c r="B95" i="4" l="1"/>
  <c r="E86" i="15"/>
  <c r="B96" i="15"/>
  <c r="E96" i="15" s="1"/>
  <c r="D96" i="15"/>
  <c r="F94" i="18"/>
  <c r="S95" i="4"/>
  <c r="E94" i="18" s="1"/>
  <c r="R95" i="4"/>
  <c r="C94" i="18"/>
  <c r="E85" i="15"/>
  <c r="K53" i="9"/>
  <c r="M53" i="9" s="1"/>
  <c r="R103" i="4"/>
  <c r="S98" i="4"/>
  <c r="O53" i="9"/>
  <c r="M58" i="9"/>
  <c r="K58" i="9"/>
  <c r="F61" i="18"/>
  <c r="C61" i="18"/>
  <c r="C95" i="18" s="1"/>
  <c r="C103" i="18" s="1"/>
  <c r="S96" i="4"/>
  <c r="E61" i="18"/>
  <c r="R38" i="4"/>
  <c r="R62" i="4" s="1"/>
  <c r="R96" i="4" s="1"/>
  <c r="R104" i="4" s="1"/>
  <c r="E62" i="4"/>
  <c r="E96" i="4" s="1"/>
  <c r="E104" i="4" s="1"/>
  <c r="E12" i="4"/>
  <c r="B102" i="18"/>
  <c r="B94" i="18"/>
  <c r="B81" i="15"/>
  <c r="E81" i="15" s="1"/>
  <c r="D70" i="15"/>
  <c r="C70" i="15"/>
  <c r="B70" i="15"/>
  <c r="E70" i="15" s="1"/>
  <c r="B62" i="15"/>
  <c r="E62" i="15" s="1"/>
  <c r="D54" i="15"/>
  <c r="C54" i="15"/>
  <c r="E54" i="15" s="1"/>
  <c r="B53" i="4"/>
  <c r="D43" i="15"/>
  <c r="C43" i="15"/>
  <c r="E43" i="15" s="1"/>
  <c r="C62" i="4"/>
  <c r="C96" i="4" s="1"/>
  <c r="B97" i="15" s="1"/>
  <c r="B37" i="18"/>
  <c r="B39" i="15"/>
  <c r="B38" i="4"/>
  <c r="C39" i="15"/>
  <c r="E39" i="15" s="1"/>
  <c r="C13" i="15"/>
  <c r="E13" i="15" s="1"/>
  <c r="AC28" i="9"/>
  <c r="AP93" i="6"/>
  <c r="AP97" i="6" s="1"/>
  <c r="G33" i="9"/>
  <c r="I33" i="9" s="1"/>
  <c r="K33" i="9" s="1"/>
  <c r="M33" i="9" s="1"/>
  <c r="O33" i="9" s="1"/>
  <c r="Q33" i="9" s="1"/>
  <c r="S33" i="9" s="1"/>
  <c r="U33" i="9" s="1"/>
  <c r="W33" i="9" s="1"/>
  <c r="Y33" i="9" s="1"/>
  <c r="AA33" i="9" s="1"/>
  <c r="AC33" i="9" s="1"/>
  <c r="AE33" i="9" s="1"/>
  <c r="AG33" i="9" s="1"/>
  <c r="AO635" i="3"/>
  <c r="AM551" i="3" s="1"/>
  <c r="AM561" i="3" s="1"/>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F95" i="18" l="1"/>
  <c r="E97" i="18"/>
  <c r="F97" i="18" s="1"/>
  <c r="F102" i="18" s="1"/>
  <c r="F103" i="18" s="1"/>
  <c r="F105" i="18" s="1"/>
  <c r="S103" i="4"/>
  <c r="E102" i="18" s="1"/>
  <c r="Q53" i="9"/>
  <c r="O58" i="9"/>
  <c r="E95" i="18"/>
  <c r="B63" i="15"/>
  <c r="B95" i="18"/>
  <c r="B61" i="18"/>
  <c r="B96" i="4"/>
  <c r="D63" i="15"/>
  <c r="C104" i="4"/>
  <c r="AC448" i="3" s="1"/>
  <c r="C97" i="15"/>
  <c r="E97" i="15" s="1"/>
  <c r="B62" i="4"/>
  <c r="C63" i="15"/>
  <c r="E63" i="15" s="1"/>
  <c r="D97"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G9" i="9"/>
  <c r="S104" i="4" l="1"/>
  <c r="S53" i="9"/>
  <c r="Q58" i="9"/>
  <c r="B104" i="4"/>
  <c r="AC447" i="3" s="1"/>
  <c r="F450" i="3" s="1"/>
  <c r="C105" i="15"/>
  <c r="B105" i="15"/>
  <c r="D105" i="15"/>
  <c r="B103" i="18"/>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E7" i="9"/>
  <c r="G6" i="9"/>
  <c r="M16" i="9"/>
  <c r="K22" i="9"/>
  <c r="K35" i="9" s="1"/>
  <c r="U15" i="9"/>
  <c r="O32" i="9"/>
  <c r="I9" i="9"/>
  <c r="K8" i="9"/>
  <c r="E103" i="18" l="1"/>
  <c r="S106" i="4"/>
  <c r="U53" i="9"/>
  <c r="S58" i="9"/>
  <c r="T11" i="26"/>
  <c r="T23" i="26" s="1"/>
  <c r="T11" i="27"/>
  <c r="T23" i="27" s="1"/>
  <c r="T11" i="5"/>
  <c r="J58" i="25"/>
  <c r="G71" i="25" s="1"/>
  <c r="G72" i="25" s="1"/>
  <c r="B75" i="25" s="1"/>
  <c r="AB46" i="26"/>
  <c r="AB48" i="26" s="1"/>
  <c r="AB53" i="26" s="1"/>
  <c r="AB54"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B76" i="25" l="1"/>
  <c r="X1024" i="3"/>
  <c r="AC449" i="3"/>
  <c r="E105" i="18"/>
  <c r="W53" i="9"/>
  <c r="U58" i="9"/>
  <c r="T26" i="27"/>
  <c r="T28" i="27" s="1"/>
  <c r="BE16" i="28"/>
  <c r="T23" i="5"/>
  <c r="T26" i="26"/>
  <c r="T28" i="26"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I45" i="9" s="1"/>
  <c r="Q16" i="9"/>
  <c r="O22" i="9"/>
  <c r="O35" i="9" s="1"/>
  <c r="Y15" i="9"/>
  <c r="BM550" i="6"/>
  <c r="BQ548" i="6"/>
  <c r="S32" i="9"/>
  <c r="M9" i="9"/>
  <c r="O8" i="9"/>
  <c r="E66" i="9" l="1"/>
  <c r="E62" i="9"/>
  <c r="Y11" i="5"/>
  <c r="Y23" i="5" s="1"/>
  <c r="Y26" i="5" s="1"/>
  <c r="Y28" i="5" s="1"/>
  <c r="Y63" i="5" s="1"/>
  <c r="Y67" i="5" s="1"/>
  <c r="Y11" i="26"/>
  <c r="Y23" i="26" s="1"/>
  <c r="Y11" i="27"/>
  <c r="Y23" i="27" s="1"/>
  <c r="Y53" i="9"/>
  <c r="W58" i="9"/>
  <c r="T26" i="5"/>
  <c r="T28" i="5" s="1"/>
  <c r="Q71" i="25"/>
  <c r="O75" i="25" s="1"/>
  <c r="R75" i="25" s="1"/>
  <c r="S4" i="9"/>
  <c r="S5" i="9" s="1"/>
  <c r="AK619" i="6"/>
  <c r="AJ1020" i="3"/>
  <c r="G45" i="9"/>
  <c r="G47" i="9" s="1"/>
  <c r="T708" i="6"/>
  <c r="T706" i="6" s="1"/>
  <c r="E67" i="9"/>
  <c r="E70" i="9" s="1"/>
  <c r="E72" i="9" s="1"/>
  <c r="BT573" i="6"/>
  <c r="CG537" i="6"/>
  <c r="BQ550" i="6"/>
  <c r="BU549" i="6"/>
  <c r="BU550" i="6" s="1"/>
  <c r="S16" i="9"/>
  <c r="Q22" i="9"/>
  <c r="Q35" i="9" s="1"/>
  <c r="AA15" i="9"/>
  <c r="I49" i="9"/>
  <c r="K7" i="9"/>
  <c r="K11" i="9" s="1"/>
  <c r="M6" i="9"/>
  <c r="U32" i="9"/>
  <c r="Q8" i="9"/>
  <c r="O9" i="9"/>
  <c r="T29" i="5" l="1"/>
  <c r="Y26" i="27"/>
  <c r="Y28" i="27" s="1"/>
  <c r="Y38" i="27"/>
  <c r="Y40" i="27" s="1"/>
  <c r="AD38" i="27"/>
  <c r="AD40" i="27" s="1"/>
  <c r="Y26" i="26"/>
  <c r="Y28" i="26" s="1"/>
  <c r="Y38" i="26"/>
  <c r="Y40" i="26" s="1"/>
  <c r="AD38" i="26"/>
  <c r="AD40" i="26" s="1"/>
  <c r="AA53" i="9"/>
  <c r="Y58"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7" l="1"/>
  <c r="AB55" i="27" s="1"/>
  <c r="AB56" i="27" s="1"/>
  <c r="AB58" i="27" s="1"/>
  <c r="AB75" i="27" s="1"/>
  <c r="F59" i="27"/>
  <c r="Y63" i="26"/>
  <c r="Y67" i="26" s="1"/>
  <c r="T29" i="26"/>
  <c r="Y41" i="26"/>
  <c r="AB55" i="26" s="1"/>
  <c r="AB56" i="26" s="1"/>
  <c r="AB58" i="26" s="1"/>
  <c r="Y63" i="27"/>
  <c r="Y67" i="27" s="1"/>
  <c r="AB76" i="27" s="1"/>
  <c r="AB77" i="27" s="1"/>
  <c r="AB79" i="27" s="1"/>
  <c r="J80" i="27" s="1"/>
  <c r="T29" i="27"/>
  <c r="AA58" i="9"/>
  <c r="AC53"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B75" i="26" l="1"/>
  <c r="AB76" i="26" s="1"/>
  <c r="AB77" i="26" s="1"/>
  <c r="AB79" i="26" s="1"/>
  <c r="J80" i="26" s="1"/>
  <c r="F59" i="26"/>
  <c r="AC58" i="9"/>
  <c r="AE53"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E58" i="9" l="1"/>
  <c r="AG53" i="9"/>
  <c r="AG58" i="9" s="1"/>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<sst xmlns="http://schemas.openxmlformats.org/spreadsheetml/2006/main" count="4683" uniqueCount="2469">
  <si>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</si>
  <si>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</si>
  <si>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</si>
  <si>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</si>
  <si>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</si>
  <si>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</si>
  <si>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</si>
  <si>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</si>
  <si>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</si>
  <si>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</si>
  <si>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</si>
  <si>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</si>
  <si>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</si>
  <si>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</si>
  <si>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</si>
  <si>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</si>
  <si>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</si>
  <si>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</si>
  <si>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</si>
  <si>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</si>
  <si>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</si>
  <si>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</si>
  <si>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</si>
  <si>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</si>
  <si>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</si>
  <si>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</si>
  <si>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</si>
  <si>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</si>
  <si>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</si>
  <si>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</si>
  <si>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</si>
  <si>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</si>
  <si>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</si>
  <si>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</si>
  <si>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</si>
  <si>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</si>
  <si>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</si>
  <si>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</si>
  <si>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</si>
  <si>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</si>
  <si>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</si>
  <si>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</si>
  <si>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</si>
  <si>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</si>
  <si>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</si>
  <si>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</si>
  <si>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</si>
  <si>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</si>
  <si>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</si>
  <si>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</si>
  <si>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</si>
  <si>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</si>
  <si>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</si>
  <si>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</si>
  <si>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</si>
  <si>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</si>
  <si>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</si>
  <si>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</si>
  <si>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</si>
  <si>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</si>
  <si>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</si>
  <si>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</si>
  <si>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</si>
  <si>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</si>
  <si>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</si>
  <si>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</si>
  <si>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</si>
  <si>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</si>
  <si>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</si>
  <si>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</si>
  <si>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</si>
  <si>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</si>
  <si>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</si>
  <si>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</si>
  <si>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</si>
  <si>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</si>
  <si>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</si>
  <si>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</si>
  <si>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</si>
  <si>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</si>
  <si>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</si>
  <si>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</si>
  <si>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</si>
  <si>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</si>
  <si>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</si>
  <si>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</si>
  <si>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</si>
  <si>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</si>
  <si>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</si>
  <si>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</si>
  <si>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</si>
  <si>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</si>
  <si>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</si>
  <si>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</si>
  <si>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</si>
  <si>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</si>
  <si>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</si>
  <si>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</si>
  <si>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</si>
  <si>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</si>
  <si>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</si>
  <si>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</si>
  <si>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</si>
  <si>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</si>
  <si>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</si>
  <si>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</si>
  <si>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</si>
  <si>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</si>
  <si>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</si>
  <si>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</si>
  <si>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</si>
  <si>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</si>
  <si>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</si>
  <si>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</si>
  <si>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</si>
  <si>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</si>
  <si>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</si>
  <si>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</si>
  <si>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</si>
  <si>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</si>
  <si>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</si>
  <si>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</si>
  <si>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</si>
  <si>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</si>
  <si>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</si>
  <si>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</si>
  <si>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</si>
  <si>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</si>
  <si>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</si>
  <si>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</si>
  <si>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</si>
  <si>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</si>
  <si>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</si>
  <si>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</si>
  <si>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</si>
  <si>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</si>
  <si>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</si>
  <si>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</si>
  <si>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</si>
  <si>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</si>
  <si>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</si>
  <si>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</si>
  <si>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</si>
  <si>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</si>
  <si>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</si>
  <si>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</si>
  <si>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</si>
  <si>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</si>
  <si>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</si>
  <si>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</si>
  <si>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</si>
  <si>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</si>
  <si>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</si>
  <si>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</si>
  <si>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</si>
  <si>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</si>
  <si>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</si>
  <si>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</si>
  <si>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</si>
  <si>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</si>
  <si>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</si>
  <si>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</si>
  <si>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</si>
  <si>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</si>
  <si>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</si>
  <si>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</si>
  <si>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</si>
  <si>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</si>
  <si>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</si>
  <si>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</si>
  <si>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</si>
  <si>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</si>
  <si>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</si>
  <si>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</si>
  <si>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</si>
  <si>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</si>
  <si>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</si>
  <si>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</si>
  <si>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</si>
  <si>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</si>
  <si>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</si>
  <si>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</si>
  <si>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</si>
  <si>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</si>
  <si>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</si>
  <si>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</si>
  <si>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</si>
  <si>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</si>
  <si>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</si>
  <si>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</si>
  <si>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</si>
  <si>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</si>
  <si>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</si>
  <si>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</si>
  <si>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</si>
  <si>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</si>
  <si>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</si>
  <si>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</si>
  <si>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</si>
  <si>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</si>
  <si>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</si>
  <si>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</si>
  <si>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</si>
  <si>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</si>
  <si>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</si>
  <si>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</si>
  <si>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</si>
  <si>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</si>
  <si>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</si>
  <si>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</si>
  <si>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</si>
  <si>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</si>
  <si>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</si>
  <si>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</si>
  <si>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</si>
  <si>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</si>
  <si>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</si>
  <si>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</si>
  <si>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</si>
  <si>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</si>
  <si>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</si>
  <si>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</si>
  <si>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</si>
  <si>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</si>
  <si>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</si>
  <si>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</si>
  <si>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</si>
  <si>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</si>
  <si>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</si>
  <si>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</si>
  <si>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</si>
  <si>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</si>
  <si>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</si>
  <si>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</si>
  <si>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</si>
  <si>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</si>
  <si>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</si>
  <si>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</si>
  <si>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</si>
  <si>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</si>
  <si>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</si>
  <si>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</si>
  <si>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</si>
  <si>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</si>
  <si>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</si>
  <si>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</si>
  <si>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</si>
  <si>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</si>
  <si>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</si>
  <si>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</si>
  <si>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</si>
  <si>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</si>
  <si>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</si>
  <si>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</si>
  <si>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</si>
  <si>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</si>
  <si>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</si>
  <si>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</si>
  <si>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</si>
  <si>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</si>
  <si>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</si>
  <si>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</si>
  <si>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</si>
  <si>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</si>
  <si>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</si>
  <si>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</si>
  <si>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</si>
  <si>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</si>
  <si>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</si>
  <si>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</si>
  <si>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</si>
  <si>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</si>
  <si>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</si>
  <si>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</si>
  <si>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</si>
  <si>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</si>
  <si>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</si>
  <si>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</si>
  <si>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</si>
  <si>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</si>
  <si>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</si>
  <si>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</si>
  <si>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</si>
  <si>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</si>
  <si>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</si>
  <si>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</si>
  <si>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</si>
  <si>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</si>
  <si>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</si>
  <si>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</si>
  <si>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</si>
  <si>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</si>
  <si>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</si>
  <si>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</si>
  <si>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</si>
  <si>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</si>
  <si>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</si>
  <si>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</si>
  <si>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</si>
  <si>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</si>
  <si>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</si>
  <si>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</si>
  <si>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</si>
  <si>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</si>
  <si>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</si>
  <si>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</si>
  <si>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</si>
  <si>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</si>
  <si>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</si>
  <si>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</si>
  <si>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</si>
  <si>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</si>
  <si>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</si>
  <si>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</si>
  <si>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</si>
  <si>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</si>
  <si>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</si>
  <si>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</si>
  <si>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</si>
  <si>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</si>
  <si>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</si>
  <si>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</si>
  <si>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</si>
  <si>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</si>
  <si>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</si>
  <si>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</si>
  <si>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</si>
  <si>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</si>
  <si>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</si>
  <si>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</si>
  <si>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</si>
  <si>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</si>
  <si>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</si>
  <si>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</si>
  <si>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</si>
  <si>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</si>
  <si>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</si>
  <si>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</si>
  <si>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</si>
  <si>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</si>
  <si>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</si>
  <si>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</si>
  <si>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</si>
  <si>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</si>
  <si>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</si>
  <si>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</si>
  <si>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</si>
  <si>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</si>
  <si>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</si>
  <si>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</si>
  <si>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</si>
  <si>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</si>
  <si>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</si>
  <si>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</si>
  <si>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</si>
  <si>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</si>
  <si>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</si>
  <si>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</si>
  <si>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</si>
  <si>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</si>
  <si>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</si>
  <si>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</si>
  <si>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</si>
  <si>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</si>
  <si>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</si>
  <si>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</si>
  <si>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</si>
  <si>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</si>
  <si>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</si>
  <si>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</si>
  <si>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</si>
  <si>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</si>
  <si>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</si>
  <si>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</si>
  <si>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</si>
  <si>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</si>
  <si>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</si>
  <si>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</si>
  <si>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</si>
  <si>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</si>
  <si>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</si>
  <si>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</si>
  <si>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</si>
  <si>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</si>
  <si>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</si>
  <si>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</si>
  <si>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</si>
  <si>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</si>
  <si>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</si>
  <si>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</si>
  <si>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</si>
  <si>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</si>
  <si>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</si>
  <si>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</si>
  <si>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</si>
  <si>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</si>
  <si>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</si>
  <si>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</si>
  <si>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</si>
  <si>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</si>
  <si>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</si>
  <si>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</si>
  <si>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</si>
  <si>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</si>
  <si>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</si>
  <si>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</si>
  <si>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</si>
  <si>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</si>
  <si>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</si>
  <si>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</si>
  <si>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</si>
  <si>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</si>
  <si>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</si>
  <si>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</si>
  <si>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</si>
  <si>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</si>
  <si>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</si>
  <si>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</si>
  <si>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</si>
  <si>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</si>
  <si>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</si>
  <si>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</si>
  <si>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</si>
  <si>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</si>
  <si>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</si>
  <si>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</si>
  <si>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</si>
  <si>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</si>
  <si>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</si>
  <si>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</si>
  <si>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</si>
  <si>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</si>
  <si>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</si>
  <si>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</si>
  <si>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</si>
  <si>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</si>
  <si>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</si>
  <si>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</si>
  <si>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</si>
  <si>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</si>
  <si>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</si>
  <si>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</si>
  <si>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</si>
  <si>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</si>
  <si>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</si>
  <si>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</si>
  <si>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</si>
  <si>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</si>
  <si>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</si>
  <si>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</si>
  <si>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</si>
  <si>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</si>
  <si>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</si>
  <si>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</si>
  <si>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</si>
  <si>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</si>
  <si>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</si>
  <si>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</si>
  <si>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</si>
  <si>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</si>
  <si>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</si>
  <si>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</si>
  <si>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</si>
  <si>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</si>
  <si>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</si>
  <si>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</si>
  <si>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</si>
  <si>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</si>
  <si>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</si>
  <si>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</si>
  <si>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</si>
  <si>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</si>
  <si>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</si>
  <si>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</si>
  <si>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</si>
  <si>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</si>
  <si>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</si>
  <si>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</si>
  <si>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</si>
  <si>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</si>
  <si>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</si>
  <si>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</si>
  <si>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</si>
  <si>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</si>
  <si>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</si>
  <si>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</si>
  <si>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</si>
  <si>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</si>
  <si>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</si>
  <si>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</si>
  <si>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</si>
  <si>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</si>
  <si>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</si>
  <si>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</si>
  <si>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</si>
  <si>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</si>
  <si>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</si>
  <si>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</si>
  <si>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</si>
  <si>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</si>
  <si>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</si>
  <si>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</si>
  <si>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</si>
  <si>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</si>
  <si>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</si>
  <si>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</si>
  <si>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</si>
  <si>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</si>
  <si>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</si>
  <si>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</si>
  <si>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</si>
  <si>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</si>
  <si>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</si>
  <si>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</si>
  <si>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</si>
  <si>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</si>
  <si>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</si>
  <si>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</si>
  <si>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</si>
  <si>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</si>
  <si>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</si>
  <si>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</si>
  <si>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</si>
  <si>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</si>
  <si>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</si>
  <si>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</si>
  <si>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</si>
  <si>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</si>
  <si>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</si>
  <si>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</si>
  <si>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</si>
  <si>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</si>
  <si>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</si>
  <si>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</si>
  <si>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</si>
  <si>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</si>
  <si>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</si>
  <si>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</si>
  <si>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</si>
  <si>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</si>
  <si>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</si>
  <si>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</si>
  <si>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</si>
  <si>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</si>
  <si>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</si>
  <si>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</si>
  <si>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</si>
  <si>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</si>
  <si>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</si>
  <si>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</si>
  <si>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</si>
  <si>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</si>
  <si>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</si>
  <si>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</si>
  <si>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</si>
  <si>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</si>
  <si>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</si>
  <si>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</si>
  <si>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</si>
  <si>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</si>
  <si>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</si>
  <si>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</si>
  <si>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</si>
  <si>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</si>
  <si>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</si>
  <si>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</si>
  <si>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</si>
  <si>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</si>
  <si>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</si>
  <si>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</si>
  <si>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</si>
  <si>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</si>
  <si>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</si>
  <si>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</si>
  <si>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</si>
  <si>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</si>
  <si>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</si>
  <si>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</si>
  <si>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</si>
  <si>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</si>
  <si>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</si>
  <si>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</si>
  <si>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</si>
  <si>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</si>
  <si>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</si>
  <si>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</si>
  <si>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</si>
  <si>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</si>
  <si>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</si>
  <si>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</si>
  <si>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</si>
  <si>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</si>
  <si>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</si>
  <si>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</si>
  <si>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</si>
  <si>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</si>
  <si>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</si>
  <si>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</si>
  <si>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</si>
  <si>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</si>
  <si>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</si>
  <si>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</si>
  <si>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</si>
  <si>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</si>
  <si>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</si>
  <si>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</si>
  <si>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</si>
  <si>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</si>
  <si>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</si>
  <si>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</si>
  <si>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</si>
  <si>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</si>
  <si>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</si>
  <si>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</si>
  <si>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</si>
  <si>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</si>
  <si>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</si>
  <si>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</si>
  <si>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</si>
  <si>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</si>
  <si>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</si>
  <si>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</si>
  <si>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</si>
  <si>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</si>
  <si>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</si>
  <si>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</si>
  <si>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</si>
  <si>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</si>
  <si>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</si>
  <si>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</si>
  <si>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</si>
  <si>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</si>
  <si>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</si>
  <si>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</si>
  <si>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</si>
  <si>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</si>
  <si>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</si>
  <si>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</si>
  <si>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</si>
  <si>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</si>
  <si>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</si>
  <si>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</si>
  <si>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</si>
  <si>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</si>
  <si>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</si>
  <si>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</si>
  <si>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</si>
  <si>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</si>
  <si>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</si>
  <si>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</si>
  <si>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</si>
  <si>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</si>
  <si>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</si>
  <si>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</si>
  <si>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</si>
  <si>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</si>
  <si>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</si>
  <si>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</si>
  <si>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</si>
  <si>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</si>
  <si>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</si>
  <si>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</si>
  <si>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</si>
  <si>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</si>
  <si>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</si>
  <si>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</si>
  <si>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</si>
  <si>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</si>
  <si>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</si>
  <si>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</si>
  <si>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</si>
  <si>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</si>
  <si>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</si>
  <si>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</si>
  <si>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</si>
  <si>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</si>
  <si>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</si>
  <si>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</si>
  <si>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</si>
  <si>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</si>
  <si>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</si>
  <si>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</si>
  <si>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</si>
  <si>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</si>
  <si>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</si>
  <si>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</si>
  <si>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</si>
  <si>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</si>
  <si>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</si>
  <si>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</si>
  <si>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</si>
  <si>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</si>
  <si>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</si>
  <si>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</si>
  <si>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</si>
  <si>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</si>
  <si>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</si>
  <si>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</si>
  <si>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</si>
  <si>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</si>
  <si>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</si>
  <si>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</si>
  <si>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</si>
  <si>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</si>
  <si>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</si>
  <si>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</si>
  <si>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</si>
  <si>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</si>
  <si>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</si>
  <si>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</si>
  <si>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</si>
  <si>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</si>
  <si>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</si>
  <si>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</si>
  <si>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</si>
  <si>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</si>
  <si>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</si>
  <si>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</si>
  <si>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</si>
  <si>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</si>
  <si>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</si>
  <si>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</si>
  <si>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</si>
  <si>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</si>
  <si>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</si>
  <si>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</si>
  <si>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</si>
  <si>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</si>
  <si>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</si>
  <si>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</si>
  <si>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</si>
  <si>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</si>
  <si>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</si>
  <si>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</si>
  <si>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</si>
  <si>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</si>
  <si>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</si>
  <si>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</si>
  <si>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</si>
  <si>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</si>
  <si>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</si>
  <si>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</si>
  <si>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</si>
  <si>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</si>
  <si>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</si>
  <si>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</si>
  <si>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</si>
  <si>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</si>
  <si>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</si>
  <si>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</si>
  <si>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</si>
  <si>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</si>
  <si>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</si>
  <si>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</si>
  <si>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</si>
  <si>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</si>
  <si>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</si>
  <si>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</si>
  <si>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</si>
  <si>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</si>
  <si>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</si>
  <si>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</si>
  <si>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</si>
  <si>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</si>
  <si>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</si>
  <si>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</si>
  <si>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</si>
  <si>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</si>
  <si>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</si>
  <si>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</si>
  <si>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</si>
  <si>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</si>
  <si>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</si>
  <si>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</si>
  <si>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</si>
  <si>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</si>
  <si>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</si>
  <si>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</si>
  <si>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</si>
  <si>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</si>
  <si>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</si>
  <si>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</si>
  <si>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</si>
  <si>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</si>
  <si>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</si>
  <si>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</si>
  <si>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</si>
  <si>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</si>
  <si>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</si>
  <si>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</si>
  <si>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</si>
  <si>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</si>
  <si>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</si>
  <si>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</si>
  <si>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</si>
  <si>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</si>
  <si>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</si>
  <si>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</si>
  <si>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</si>
  <si>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</si>
  <si>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</si>
  <si>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</si>
  <si>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</si>
  <si>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</si>
  <si>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</si>
  <si>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</si>
  <si>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</si>
  <si>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</si>
  <si>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</si>
  <si>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</si>
  <si>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</si>
  <si>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</si>
  <si>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</si>
  <si>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</si>
  <si>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</si>
  <si>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</si>
  <si>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</si>
  <si>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</si>
  <si>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</si>
  <si>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</si>
  <si>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</si>
  <si>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</si>
  <si>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</si>
  <si>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</si>
  <si>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</si>
  <si>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</si>
  <si>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</si>
  <si>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</si>
  <si>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</si>
  <si>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</si>
  <si>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</si>
  <si>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</si>
  <si>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</si>
  <si>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</si>
  <si>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</si>
  <si>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</si>
  <si>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</si>
  <si>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</si>
  <si>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</si>
  <si>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</si>
  <si>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</si>
  <si>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</si>
  <si>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</si>
  <si>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</si>
  <si>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</si>
  <si>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</si>
  <si>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</si>
  <si>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</si>
  <si>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</si>
  <si>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</si>
  <si>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</si>
  <si>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</si>
  <si>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</si>
  <si>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</si>
  <si>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</si>
  <si>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</si>
  <si>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</si>
  <si>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</si>
  <si>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</si>
  <si>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</si>
  <si>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</si>
  <si>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</si>
  <si>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</si>
  <si>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</si>
  <si>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</si>
  <si>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</si>
  <si>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</si>
  <si>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</si>
  <si>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</si>
  <si>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</si>
  <si>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</si>
  <si>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</si>
  <si>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</si>
  <si>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</si>
  <si>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</si>
  <si>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</si>
  <si>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</si>
  <si>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</si>
  <si>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</si>
  <si>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</si>
  <si>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</si>
  <si>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</si>
  <si>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</si>
  <si>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</si>
  <si>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</si>
  <si>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</si>
  <si>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</si>
  <si>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</si>
  <si>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</si>
  <si>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</si>
  <si>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</si>
  <si>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</si>
  <si>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</si>
  <si>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</si>
  <si>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</si>
  <si>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</si>
  <si>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</si>
  <si>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</si>
  <si>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</si>
  <si>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</si>
  <si>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</si>
  <si>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</si>
  <si>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</si>
  <si>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</si>
  <si>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</si>
  <si>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</si>
  <si>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</si>
  <si>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</si>
  <si>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</si>
  <si>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</si>
  <si>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</si>
  <si>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</si>
  <si>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</si>
  <si>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</si>
  <si>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</si>
  <si>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</si>
  <si>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</si>
  <si>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</si>
  <si>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</si>
  <si>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</si>
  <si>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</si>
  <si>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</si>
  <si>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</si>
  <si>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</si>
  <si>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</si>
  <si>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</si>
  <si>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</si>
  <si>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</si>
  <si>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</si>
  <si>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</si>
  <si>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</si>
  <si>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</si>
  <si>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</si>
  <si>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</si>
  <si>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</si>
  <si>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</si>
  <si>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</si>
  <si>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</si>
  <si>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</si>
  <si>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</si>
  <si>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</si>
  <si>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</si>
  <si>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</si>
  <si>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</si>
  <si>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</si>
  <si>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</si>
  <si>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</si>
  <si>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</si>
  <si>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</si>
  <si>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</si>
  <si>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</si>
  <si>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</si>
  <si>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</si>
  <si>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</si>
  <si>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</si>
  <si>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</si>
  <si>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</si>
  <si>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</si>
  <si>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</si>
  <si>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</si>
  <si>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</si>
  <si>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</si>
  <si>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</si>
  <si>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</si>
  <si>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</si>
  <si>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</si>
  <si>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</si>
  <si>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</si>
  <si>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</si>
  <si>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</si>
  <si>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</si>
  <si>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</si>
  <si>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</si>
  <si>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</si>
  <si>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</si>
  <si>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</si>
  <si>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</si>
  <si>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</si>
  <si>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</si>
  <si>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</si>
  <si>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</si>
  <si>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</si>
  <si>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</si>
  <si>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</si>
  <si>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</si>
  <si>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</si>
  <si>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</si>
  <si>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</si>
  <si>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</si>
  <si>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</si>
  <si>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</si>
  <si>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</si>
  <si>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</si>
  <si>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</si>
  <si>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</si>
  <si>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</si>
  <si>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</si>
  <si>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</si>
  <si>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</si>
  <si>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</si>
  <si>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</si>
  <si>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</si>
  <si>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</si>
  <si>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</si>
  <si>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</si>
  <si>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</si>
  <si>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</si>
  <si>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</si>
  <si>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</si>
  <si>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</si>
  <si>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</si>
  <si>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</si>
  <si>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</si>
  <si>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</si>
  <si>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</si>
  <si>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</si>
  <si>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</si>
  <si>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</si>
  <si>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</si>
  <si>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</si>
  <si>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</si>
  <si>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</si>
  <si>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</si>
  <si>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</si>
  <si>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</si>
  <si>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</si>
  <si>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</si>
  <si>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</si>
  <si>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</si>
  <si>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</si>
  <si>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</si>
  <si>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</si>
  <si>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</si>
  <si>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</si>
  <si>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</si>
  <si>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</si>
  <si>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</si>
  <si>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</si>
  <si>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</si>
  <si>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</si>
  <si>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</si>
  <si>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</si>
  <si>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</si>
  <si>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</si>
  <si>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</si>
  <si>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</si>
  <si>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</si>
  <si>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</si>
  <si>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</si>
  <si>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</si>
  <si>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</si>
  <si>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</si>
  <si>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</si>
  <si>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</si>
  <si>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</si>
  <si>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</si>
  <si>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</si>
  <si>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</si>
  <si>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</si>
  <si>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</si>
  <si>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</si>
  <si>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</si>
  <si>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</si>
  <si>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</si>
  <si>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</si>
  <si>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</si>
  <si>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</si>
  <si>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</si>
  <si>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</si>
  <si>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</si>
  <si>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</si>
  <si>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</si>
  <si>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</si>
  <si>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</si>
  <si>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</si>
  <si>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</si>
  <si>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</si>
  <si>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</si>
  <si>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</si>
  <si>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</si>
  <si>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</si>
  <si>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</si>
  <si>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</si>
  <si>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</si>
  <si>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</si>
  <si>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</si>
  <si>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</si>
  <si>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</si>
  <si>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</si>
  <si>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</si>
  <si>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</si>
  <si>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</si>
  <si>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</si>
  <si>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</si>
  <si>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</si>
  <si>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</si>
  <si>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</si>
  <si>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</si>
  <si>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</si>
  <si>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</si>
  <si>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</si>
  <si>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</si>
  <si>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</si>
  <si>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</si>
  <si>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</si>
  <si>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</si>
  <si>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</si>
  <si>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</si>
  <si>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</si>
  <si>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</si>
  <si>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</si>
  <si>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</si>
  <si>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</si>
  <si>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</si>
  <si>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</si>
  <si>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</si>
  <si>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</si>
  <si>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</si>
  <si>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</si>
  <si>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</si>
  <si>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</si>
  <si>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</si>
  <si>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</si>
  <si>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</si>
  <si>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</si>
  <si>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</si>
  <si>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</si>
  <si>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</si>
  <si>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</si>
  <si>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</si>
  <si>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</si>
  <si>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</si>
  <si>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</si>
  <si>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</si>
  <si>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</si>
  <si>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</si>
  <si>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</si>
  <si>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</si>
  <si>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</si>
  <si>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</si>
  <si>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</si>
  <si>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</si>
  <si>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</si>
  <si>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</si>
  <si>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</si>
  <si>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</si>
  <si>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</si>
  <si>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</si>
  <si>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</si>
  <si>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</si>
  <si>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</si>
  <si>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</si>
  <si>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</si>
  <si>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</si>
  <si>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</si>
  <si>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</si>
  <si>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</si>
  <si>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</si>
  <si>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</si>
  <si>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</si>
  <si>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</si>
  <si>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</si>
  <si>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</si>
  <si>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</si>
  <si>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</si>
  <si>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</si>
  <si>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</si>
  <si>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</si>
  <si>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</si>
  <si>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</si>
  <si>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</si>
  <si>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</si>
  <si>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</si>
  <si>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</si>
  <si>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</si>
  <si>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</si>
  <si>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</si>
  <si>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</si>
  <si>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</si>
  <si>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</si>
  <si>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</si>
  <si>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</si>
  <si>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</si>
  <si>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</si>
  <si>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</si>
  <si>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</si>
  <si>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</si>
  <si>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</si>
  <si>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</si>
  <si>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</si>
  <si>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</si>
  <si>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</si>
  <si>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</si>
  <si>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</si>
  <si>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</si>
  <si>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</si>
  <si>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</si>
  <si>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</si>
  <si>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</si>
  <si>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</si>
  <si>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</si>
  <si>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</si>
  <si>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</si>
  <si>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</si>
  <si>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</si>
  <si>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</si>
  <si>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</si>
  <si>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</si>
  <si>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</si>
  <si>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</si>
  <si>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</si>
  <si>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</si>
  <si>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</si>
  <si>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</si>
  <si>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</si>
  <si>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</si>
  <si>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</si>
  <si>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</si>
  <si>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</si>
  <si>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</si>
  <si>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</si>
  <si>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</si>
  <si>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</si>
  <si>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</si>
  <si>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</si>
  <si>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</si>
  <si>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</si>
  <si>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</si>
  <si>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</si>
  <si>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</si>
  <si>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</si>
  <si>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</si>
  <si>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</si>
  <si>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</si>
  <si>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</si>
  <si>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</si>
  <si>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</si>
  <si>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</si>
  <si>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</si>
  <si>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</si>
  <si>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</si>
  <si>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</si>
  <si>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</si>
  <si>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</si>
  <si>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</si>
  <si>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</si>
  <si>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</si>
  <si>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</si>
  <si>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</si>
  <si>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</si>
  <si>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</si>
  <si>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</si>
  <si>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</si>
  <si>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</si>
  <si>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</si>
  <si>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</si>
  <si>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</si>
  <si>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</si>
  <si>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</si>
  <si>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</si>
  <si>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</si>
  <si>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</si>
  <si>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</si>
  <si>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</si>
  <si>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</si>
  <si>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</si>
  <si>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</si>
  <si>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</si>
  <si>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</si>
  <si>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</si>
  <si>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</si>
  <si>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</si>
  <si>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</si>
  <si>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</si>
  <si>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</si>
  <si>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</si>
  <si>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</si>
  <si>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</si>
  <si>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</si>
  <si>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</si>
  <si>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</si>
  <si>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</si>
  <si>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</si>
  <si>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</si>
  <si>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</si>
  <si>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</si>
  <si>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</si>
  <si>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</si>
  <si>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</si>
  <si>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</si>
  <si>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</si>
  <si>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</si>
  <si>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</si>
  <si>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</si>
  <si>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</si>
  <si>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</si>
  <si>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</si>
  <si>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</si>
  <si>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</si>
  <si>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</si>
  <si>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</si>
  <si>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</si>
  <si>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</si>
  <si>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</si>
  <si>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</si>
  <si>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</si>
  <si>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</si>
  <si>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</si>
  <si>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</si>
  <si>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</si>
  <si>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</si>
  <si>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</si>
  <si>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</si>
  <si>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</si>
  <si>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</si>
  <si>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</si>
  <si>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</si>
  <si>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</si>
  <si>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</si>
  <si>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</si>
  <si>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</si>
  <si>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</si>
  <si>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</si>
  <si>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</si>
  <si>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</si>
  <si>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</si>
  <si>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</si>
  <si>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</si>
  <si>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</si>
  <si>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</si>
  <si>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</si>
  <si>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</si>
  <si>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</si>
  <si>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</si>
  <si>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</si>
  <si>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</si>
  <si>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</si>
  <si>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</si>
  <si>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</si>
  <si>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</si>
  <si>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</si>
  <si>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</si>
  <si>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</si>
  <si>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</si>
  <si>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</si>
  <si>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</si>
  <si>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</si>
  <si>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</si>
  <si>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</si>
  <si>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</si>
  <si>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</si>
  <si>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</si>
  <si>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</si>
  <si>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</si>
  <si>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</si>
  <si>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</si>
  <si>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</si>
  <si>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</si>
  <si>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</si>
  <si>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</si>
  <si>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</si>
  <si>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</si>
  <si>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</si>
  <si>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</si>
  <si>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</si>
  <si>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</si>
  <si>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</si>
  <si>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</si>
  <si>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</si>
  <si>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</si>
  <si>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</si>
  <si>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</si>
  <si>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</si>
  <si>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</si>
  <si>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</si>
  <si>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</si>
  <si>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</si>
  <si>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</si>
  <si>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</si>
  <si>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</si>
  <si>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</si>
  <si>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</si>
  <si>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</si>
  <si>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</si>
  <si>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</si>
  <si>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</si>
  <si>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</si>
  <si>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</si>
  <si>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</si>
  <si>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</si>
  <si>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</si>
  <si>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</si>
  <si>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</si>
  <si>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</si>
  <si>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</si>
  <si>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</si>
  <si>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</si>
  <si>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</si>
  <si>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</si>
  <si>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</si>
  <si>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</si>
  <si>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</si>
  <si>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</si>
  <si>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</si>
  <si>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</si>
  <si>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</si>
  <si>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</si>
  <si>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</si>
  <si>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</si>
  <si>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</si>
  <si>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</si>
  <si>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</si>
  <si>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</si>
  <si>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</si>
  <si>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</si>
  <si>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</si>
  <si>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</si>
  <si>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</si>
  <si>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</si>
  <si>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</si>
  <si>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</si>
  <si>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</si>
  <si>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</si>
  <si>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</si>
  <si>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</si>
  <si>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</si>
  <si>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</si>
  <si>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</si>
  <si>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</si>
  <si>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</si>
  <si>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</si>
  <si>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</si>
  <si>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</si>
  <si>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</si>
  <si>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</si>
  <si>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</si>
  <si>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</si>
  <si>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</si>
  <si>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</si>
  <si>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</si>
  <si>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</si>
  <si>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</si>
  <si>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</si>
  <si>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</si>
  <si>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</si>
  <si>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</si>
  <si>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</si>
  <si>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</si>
  <si>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</si>
  <si>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</si>
  <si>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</si>
  <si>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</si>
  <si>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</si>
  <si>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</si>
  <si>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</si>
  <si>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</si>
  <si>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</si>
  <si>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</si>
  <si>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</si>
  <si>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</si>
  <si>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</si>
  <si>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</si>
  <si>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</si>
  <si>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</si>
  <si>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</si>
  <si>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</si>
  <si>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</si>
  <si>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</si>
  <si>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</si>
  <si>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</si>
  <si>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</si>
  <si>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</si>
  <si>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</si>
  <si>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</si>
  <si>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</si>
  <si>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</si>
  <si>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</si>
  <si>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</si>
  <si>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</si>
  <si>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</si>
  <si>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</si>
  <si>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</si>
  <si>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</si>
  <si>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</si>
  <si>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</si>
  <si>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</si>
  <si>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</si>
  <si>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</si>
  <si>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</si>
  <si>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</si>
  <si>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</si>
  <si>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</si>
  <si>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</si>
  <si>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</si>
  <si>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</si>
  <si>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</si>
  <si>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</si>
  <si>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</si>
  <si>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</si>
  <si>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</si>
  <si>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</si>
  <si>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</si>
  <si>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</si>
  <si>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</si>
  <si>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</si>
  <si>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</si>
  <si>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</si>
  <si>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</si>
  <si>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</si>
  <si>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</si>
  <si>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</si>
  <si>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</si>
  <si>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</si>
  <si>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</si>
  <si>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</si>
  <si>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</si>
  <si>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</si>
  <si>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</si>
  <si>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</si>
  <si>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</si>
  <si>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</si>
  <si>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</si>
  <si>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</si>
  <si>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</si>
  <si>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</si>
  <si>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</si>
  <si>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</si>
  <si>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</si>
  <si>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</si>
  <si>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</si>
  <si>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</si>
  <si>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</si>
  <si>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</si>
  <si>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</si>
  <si>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</si>
  <si>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</si>
  <si>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</si>
  <si>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</si>
  <si>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</si>
  <si>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</si>
  <si>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</si>
  <si>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</si>
  <si>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</si>
  <si>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</si>
  <si>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</si>
  <si>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</si>
  <si>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</si>
  <si>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</si>
  <si>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</si>
  <si>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</si>
  <si>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</si>
  <si>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</si>
  <si>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</si>
  <si>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</si>
  <si>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</si>
  <si>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</si>
  <si>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</si>
  <si>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</si>
  <si>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</si>
  <si>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</si>
  <si>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</si>
  <si>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</si>
  <si>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</si>
  <si>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</si>
  <si>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</si>
  <si>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</si>
  <si>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</si>
  <si>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</si>
  <si>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</si>
  <si>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</si>
  <si>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</si>
  <si>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</si>
  <si>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</si>
  <si>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</si>
  <si>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</si>
  <si>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</si>
  <si>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</si>
  <si>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</si>
  <si>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</si>
  <si>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</si>
  <si>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</si>
  <si>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</si>
  <si>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</si>
  <si>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</si>
  <si>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</si>
  <si>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</si>
  <si>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</si>
  <si>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</si>
  <si>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</si>
  <si>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</si>
  <si>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</si>
  <si>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</si>
  <si>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</si>
  <si>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</si>
  <si>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</si>
  <si>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</si>
  <si>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</si>
  <si>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</si>
  <si>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</si>
  <si>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</si>
  <si>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</si>
  <si>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</si>
  <si>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</si>
  <si>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</si>
  <si>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</si>
  <si>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</si>
  <si>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</si>
  <si>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</si>
  <si>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</si>
  <si>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</si>
  <si>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</si>
  <si>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</si>
  <si>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</si>
  <si>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</si>
  <si>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</si>
  <si>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</si>
  <si>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</si>
  <si>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</si>
  <si>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</si>
  <si>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</si>
  <si>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</si>
  <si>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</si>
  <si>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</si>
  <si>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</si>
  <si>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</si>
  <si>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</si>
  <si>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</si>
  <si>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</si>
  <si>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</si>
  <si>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</si>
  <si>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</si>
  <si>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</si>
  <si>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</si>
  <si>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</si>
  <si>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</si>
  <si>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</si>
  <si>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</si>
  <si>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</si>
  <si>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</si>
  <si>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</si>
  <si>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</si>
  <si>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</si>
  <si>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</si>
  <si>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</si>
  <si>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</si>
  <si>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</si>
  <si>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</si>
  <si>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</si>
  <si>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</si>
  <si>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</si>
  <si>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</si>
  <si>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</si>
  <si>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</si>
  <si>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</si>
  <si>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</si>
  <si>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</si>
  <si>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</si>
  <si>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</si>
  <si>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</si>
  <si>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</si>
  <si>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</si>
  <si>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</si>
  <si>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</si>
  <si>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</si>
  <si>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</si>
  <si>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</si>
  <si>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</si>
  <si>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</si>
  <si>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</si>
  <si>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</si>
  <si>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</si>
  <si>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</si>
  <si>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</si>
  <si>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</si>
  <si>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</si>
  <si>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</si>
  <si>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</si>
  <si>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</si>
  <si>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</si>
  <si>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</si>
  <si>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</si>
  <si>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</si>
  <si>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</si>
  <si>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</si>
  <si>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</si>
  <si>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</si>
  <si>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</si>
  <si>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</si>
  <si>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</si>
  <si>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</si>
  <si>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</si>
  <si>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</si>
  <si>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</si>
  <si>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</si>
  <si>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</si>
  <si>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</si>
  <si>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</si>
  <si>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</si>
  <si>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</si>
  <si>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</si>
  <si>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</si>
  <si>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</si>
  <si>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</si>
  <si>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</si>
  <si>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</si>
  <si>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</si>
  <si>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</si>
  <si>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</si>
  <si>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</si>
  <si>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</si>
  <si>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</si>
  <si>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</si>
  <si>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</si>
  <si>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</si>
  <si>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</si>
  <si>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</si>
  <si>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</si>
  <si>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</si>
  <si>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</si>
  <si>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</si>
  <si>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</si>
  <si>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</si>
  <si>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</si>
  <si>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</si>
  <si>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</si>
  <si>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</si>
  <si>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</si>
  <si>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</si>
  <si>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</si>
  <si>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</si>
  <si>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</si>
  <si>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</si>
  <si>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</si>
  <si>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</si>
  <si>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</si>
  <si>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</si>
  <si>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</si>
  <si>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</si>
  <si>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</si>
  <si>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</si>
  <si>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</si>
  <si>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</si>
  <si>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</si>
  <si>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</si>
  <si>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</si>
  <si>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</si>
  <si>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</si>
  <si>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</si>
  <si>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</si>
  <si>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</si>
  <si>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</si>
  <si>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</si>
  <si>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</si>
  <si>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</si>
  <si>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</si>
  <si>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</si>
  <si>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</si>
  <si>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</si>
  <si>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</si>
  <si>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</si>
  <si>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</si>
  <si>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</si>
  <si>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</si>
  <si>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</si>
  <si>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</si>
  <si>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</si>
  <si>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</si>
  <si>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</si>
  <si>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</si>
  <si>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</si>
  <si>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</si>
  <si>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</si>
  <si>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</si>
  <si>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</si>
  <si>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</si>
  <si>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</si>
  <si>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</si>
  <si>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</si>
  <si>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</si>
  <si>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</si>
  <si>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</si>
  <si>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</si>
  <si>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</si>
  <si>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</si>
  <si>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</si>
  <si>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</si>
  <si>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</si>
  <si>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</si>
  <si>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</si>
  <si>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</si>
  <si>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</si>
  <si>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</si>
  <si>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</si>
  <si>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</si>
  <si>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</si>
  <si>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</si>
  <si>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</si>
  <si>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</si>
  <si>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</si>
  <si>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</si>
  <si>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</si>
  <si>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</si>
  <si>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</si>
  <si>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</si>
  <si>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</si>
  <si>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</si>
  <si>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</si>
  <si>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</si>
  <si>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</si>
  <si>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</si>
  <si>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</si>
  <si>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</si>
  <si>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</si>
  <si>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</si>
  <si>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</si>
  <si>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</si>
  <si>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</si>
  <si>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</si>
  <si>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</si>
  <si>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</si>
  <si>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</si>
  <si>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</si>
  <si>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</si>
  <si>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</si>
  <si>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</si>
  <si>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</si>
  <si>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</si>
  <si>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</si>
  <si>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</si>
  <si>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</si>
  <si>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</si>
  <si>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</si>
  <si>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</si>
  <si>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</si>
  <si>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</si>
  <si>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</si>
  <si>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</si>
  <si>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</si>
  <si>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</si>
  <si>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</si>
  <si>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</si>
  <si>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</si>
  <si>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</si>
  <si>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</si>
  <si>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</si>
  <si>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</si>
  <si>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</si>
  <si>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</si>
  <si>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</si>
  <si>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</si>
  <si>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</si>
  <si>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</si>
  <si>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</si>
  <si>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</si>
  <si>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</si>
  <si>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</si>
  <si>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</si>
  <si>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</si>
  <si>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</si>
  <si>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</si>
  <si>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</si>
  <si>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</si>
  <si>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</si>
  <si>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</si>
  <si>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</si>
  <si>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</si>
  <si>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</si>
  <si>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</si>
  <si>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</si>
  <si>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</si>
  <si>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</si>
  <si>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</si>
  <si>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</si>
  <si>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</si>
  <si>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</si>
  <si>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</si>
  <si>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</si>
  <si>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</si>
  <si>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</si>
  <si>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</si>
  <si>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</si>
  <si>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</si>
  <si>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</si>
  <si>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</si>
  <si>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</si>
  <si>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</si>
  <si>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</si>
  <si>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</si>
  <si>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</si>
  <si>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</si>
  <si>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</si>
  <si>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</si>
  <si>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</si>
  <si>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</si>
  <si>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</si>
  <si>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</si>
  <si>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</si>
  <si>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</si>
  <si>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</si>
  <si>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</si>
  <si>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</si>
  <si>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</si>
  <si>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</si>
  <si>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</si>
  <si>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</si>
  <si>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</si>
  <si>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</si>
  <si>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</si>
  <si>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</si>
  <si>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</si>
  <si>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</si>
  <si>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</si>
  <si>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</si>
  <si>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</si>
  <si>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</si>
  <si>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</si>
  <si>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</si>
  <si>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</si>
  <si>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</si>
  <si>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</si>
  <si>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</si>
  <si>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</si>
  <si>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</si>
  <si>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</si>
  <si>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</si>
  <si>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</si>
  <si>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</si>
  <si>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</si>
  <si>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</si>
  <si>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</si>
  <si>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</si>
  <si>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</si>
  <si>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</si>
  <si>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</si>
  <si>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</si>
  <si>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</si>
  <si>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</si>
  <si>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</si>
  <si>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</si>
  <si>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</si>
  <si>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</si>
  <si>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</si>
  <si>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</si>
  <si>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</si>
  <si>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</si>
  <si>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</si>
  <si>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</si>
  <si>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</si>
  <si>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</si>
  <si>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</si>
  <si>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</si>
  <si>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</si>
  <si>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</si>
  <si>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</si>
  <si>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</si>
  <si>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</si>
  <si>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</si>
  <si>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</si>
  <si>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</si>
  <si>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</si>
  <si>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</si>
  <si>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</si>
  <si>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</si>
  <si>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</si>
  <si>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</si>
  <si>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</si>
  <si>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</si>
  <si>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</si>
  <si>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</si>
  <si>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</si>
  <si>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</si>
  <si>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</si>
  <si>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</si>
  <si>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</si>
  <si>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</si>
  <si>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</si>
  <si>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</si>
  <si>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</si>
  <si>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</si>
  <si>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</si>
  <si>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</si>
  <si>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</si>
  <si>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</si>
  <si>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</si>
  <si>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</si>
  <si>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</si>
  <si>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</si>
  <si>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</si>
  <si>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</si>
  <si>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</si>
  <si>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</si>
  <si>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</si>
  <si>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</si>
  <si>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</si>
  <si>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</si>
  <si>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</si>
  <si>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</si>
  <si>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</si>
  <si>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</si>
  <si>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</si>
  <si>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</si>
  <si>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</si>
  <si>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</si>
  <si>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</si>
  <si>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</si>
  <si>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</si>
  <si>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</si>
  <si>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</si>
  <si>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</si>
  <si>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</si>
  <si>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</si>
  <si>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</si>
  <si>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</si>
  <si>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</si>
  <si>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</si>
  <si>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</si>
  <si>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</si>
  <si>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</si>
  <si>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</si>
  <si>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</si>
  <si>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</si>
  <si>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</si>
  <si>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</si>
  <si>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</si>
  <si>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</si>
  <si>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</si>
  <si>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</si>
  <si>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</si>
  <si>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</si>
  <si>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</si>
  <si>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</si>
  <si>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</si>
  <si>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</si>
  <si>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</si>
  <si>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</si>
  <si>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</si>
  <si>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</si>
  <si>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</si>
  <si>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</si>
  <si>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</si>
  <si>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</si>
  <si>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</si>
  <si>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</si>
  <si>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</si>
  <si>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</si>
  <si>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</si>
  <si>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</si>
  <si>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</si>
  <si>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</si>
  <si>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</si>
  <si>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</si>
  <si>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</si>
  <si>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</si>
  <si>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</si>
  <si>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</si>
  <si>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</si>
  <si>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</si>
  <si>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</si>
  <si>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</si>
  <si>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</si>
  <si>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</si>
  <si>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</si>
  <si>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</si>
  <si>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</si>
  <si>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</si>
  <si>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</si>
  <si>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</si>
  <si>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</si>
  <si>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</si>
  <si>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</si>
  <si>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</si>
  <si>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</si>
  <si>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</si>
  <si>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</si>
  <si>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</si>
  <si>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</si>
  <si>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</si>
  <si>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</si>
  <si>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</si>
  <si>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</si>
  <si>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</si>
  <si>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</si>
  <si>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</si>
  <si>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</si>
  <si>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</si>
  <si>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</si>
  <si>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</si>
  <si>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</si>
  <si>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</si>
  <si>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</si>
  <si>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</si>
  <si>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</si>
  <si>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</si>
  <si>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</si>
  <si>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</si>
  <si>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</si>
  <si>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</si>
  <si>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</si>
  <si>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</si>
  <si>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</si>
  <si>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</si>
  <si>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</si>
  <si>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</si>
  <si>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</si>
  <si>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</si>
  <si>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</si>
  <si>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</si>
  <si>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</si>
  <si>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</si>
  <si>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</si>
  <si>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</si>
  <si>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</si>
  <si>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</si>
  <si>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</si>
  <si>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</si>
  <si>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</si>
  <si>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</si>
  <si>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</si>
  <si>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</si>
  <si>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</si>
  <si>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</si>
  <si>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</si>
  <si>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</si>
  <si>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</si>
  <si>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</si>
  <si>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</si>
  <si>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</si>
  <si>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</si>
  <si>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</si>
  <si>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</si>
  <si>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</si>
  <si>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</si>
  <si>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</si>
  <si>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</si>
  <si>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</si>
  <si>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</si>
  <si>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</si>
  <si>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</si>
  <si>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</si>
  <si>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</si>
  <si>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</si>
  <si>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</si>
  <si>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</si>
  <si>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</si>
  <si>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</si>
  <si>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</si>
  <si>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</si>
  <si>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</si>
  <si>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</si>
  <si>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</si>
  <si>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</si>
  <si>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</si>
  <si>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</si>
  <si>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</si>
  <si>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</si>
  <si>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</si>
  <si>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</si>
  <si>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</si>
  <si>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</si>
  <si>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</si>
  <si>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</si>
  <si>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</si>
  <si>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</si>
  <si>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</si>
  <si>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</si>
  <si>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</si>
  <si>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</si>
  <si>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</si>
  <si>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</si>
  <si>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</si>
  <si>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</si>
  <si>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</si>
  <si>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</si>
  <si>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</si>
  <si>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</si>
  <si>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</si>
  <si>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</si>
  <si>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</si>
  <si>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</si>
  <si>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</si>
  <si>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</si>
  <si>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</si>
  <si>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</si>
  <si>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</si>
  <si>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</si>
  <si>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</si>
  <si>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</si>
  <si>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</si>
  <si>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</si>
  <si>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</si>
  <si>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</si>
  <si>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</si>
  <si>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</si>
  <si>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</si>
  <si>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</si>
  <si>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</si>
  <si>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</si>
  <si>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</si>
  <si>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</si>
  <si>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</si>
  <si>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</si>
  <si>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</si>
  <si>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</si>
  <si>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</si>
  <si>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</si>
  <si>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</si>
  <si>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</si>
  <si>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</si>
  <si>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</si>
  <si>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</si>
  <si>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</si>
  <si>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</si>
  <si>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</si>
  <si>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</si>
  <si>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</si>
  <si>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</si>
  <si>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</si>
  <si>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</si>
  <si>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</si>
  <si>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</si>
  <si>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</si>
  <si>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</si>
  <si>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</si>
  <si>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</si>
  <si>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</si>
  <si>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</si>
  <si>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</si>
  <si>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</si>
  <si>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</si>
  <si>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</si>
  <si>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</si>
  <si>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</si>
  <si>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</si>
  <si>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</si>
  <si>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</si>
  <si>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</si>
  <si>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</si>
  <si>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</si>
  <si>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</si>
  <si>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</si>
  <si>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</si>
  <si>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</si>
  <si>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</si>
  <si>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</si>
  <si>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</si>
  <si>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</si>
  <si>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</si>
  <si>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</si>
  <si>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</si>
  <si>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</si>
  <si>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</si>
  <si>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</si>
  <si>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</si>
  <si>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</si>
  <si>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</si>
  <si>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</si>
  <si>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</si>
  <si>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</si>
  <si>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</si>
  <si>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</si>
  <si>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</si>
  <si>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</si>
  <si>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</si>
  <si>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</si>
  <si>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</si>
  <si>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</si>
  <si>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</si>
  <si>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</si>
  <si>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</si>
  <si>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</si>
  <si>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</si>
  <si>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</si>
  <si>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</si>
  <si>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</si>
  <si>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</si>
  <si>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</si>
  <si>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</si>
  <si>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</si>
  <si>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</si>
  <si>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</si>
  <si>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</si>
  <si>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</si>
  <si>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</si>
  <si>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</si>
  <si>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</si>
  <si>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</si>
  <si>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</si>
  <si>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</si>
  <si>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</si>
  <si>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</si>
  <si>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</si>
  <si>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</si>
  <si>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</si>
  <si>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</si>
  <si>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</si>
  <si>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</si>
  <si>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</si>
  <si>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</si>
  <si>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</si>
  <si>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</si>
  <si>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</si>
  <si>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</si>
  <si>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</si>
  <si>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</si>
  <si>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</si>
  <si>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</si>
  <si>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</si>
  <si>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</si>
  <si>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</si>
  <si>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</si>
  <si>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</si>
  <si>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</si>
  <si>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</si>
  <si>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</si>
  <si>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</si>
  <si>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</si>
  <si>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</si>
  <si>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</si>
  <si>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</si>
  <si>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</si>
  <si>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</si>
  <si>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</si>
  <si>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Lakeport Fenway Avenue LP</t>
  </si>
  <si>
    <t>Parkside Apartments</t>
  </si>
  <si>
    <t>July</t>
  </si>
  <si>
    <t>Arcata</t>
  </si>
  <si>
    <t>Daniel J. Johnson</t>
  </si>
  <si>
    <t>Member</t>
  </si>
  <si>
    <t xml:space="preserve">City of Lakeport </t>
  </si>
  <si>
    <t>Kevin Ingram</t>
  </si>
  <si>
    <t xml:space="preserve">225 Park Street </t>
  </si>
  <si>
    <t>Lakeport, CA</t>
  </si>
  <si>
    <t>707-263-5615</t>
  </si>
  <si>
    <t>707-263-8584</t>
  </si>
  <si>
    <t>kingram@cityoflakeport.com</t>
  </si>
  <si>
    <t>1310 Craig Street</t>
  </si>
  <si>
    <t>Lakeport</t>
  </si>
  <si>
    <t>005-030-510</t>
  </si>
  <si>
    <t>5251 Ericson Way</t>
  </si>
  <si>
    <t>CA</t>
  </si>
  <si>
    <t>Hailey Del Grande</t>
  </si>
  <si>
    <t>(707) 822-9000</t>
  </si>
  <si>
    <t>(707) 822-9596</t>
  </si>
  <si>
    <t>hdelgrande@danco-group.com</t>
  </si>
  <si>
    <t>Administrative GP</t>
  </si>
  <si>
    <t>Johnson &amp; Johnson Investments LLC</t>
  </si>
  <si>
    <t>Chris Dart</t>
  </si>
  <si>
    <t>cdart@danco-group.com</t>
  </si>
  <si>
    <t>WSA Partners</t>
  </si>
  <si>
    <t>1270 Airport Blvd</t>
  </si>
  <si>
    <t>Santa Rosa</t>
  </si>
  <si>
    <t>Peter Schelinger</t>
  </si>
  <si>
    <t>peter.schellinger@outlook.com</t>
  </si>
  <si>
    <t>Valley Initiative for Affordable Housing</t>
  </si>
  <si>
    <t>Managing GP</t>
  </si>
  <si>
    <t>P.O. Box 2574</t>
  </si>
  <si>
    <t>Emily Haden</t>
  </si>
  <si>
    <t>(209) 167-8476</t>
  </si>
  <si>
    <t>ehaden@hadenlaw.comcast.biz.net</t>
  </si>
  <si>
    <t>Danco Communities</t>
  </si>
  <si>
    <t>Developer</t>
  </si>
  <si>
    <t>Arcata, CA 95521</t>
  </si>
  <si>
    <t>707-825-1531</t>
  </si>
  <si>
    <t>707-822-9596</t>
  </si>
  <si>
    <t>DGA Architecture Group</t>
  </si>
  <si>
    <t>430 E. State Street, Ste. 100</t>
  </si>
  <si>
    <t>Eagle, ID 83616</t>
  </si>
  <si>
    <t>Douglas Gibson</t>
  </si>
  <si>
    <t>(208) 908-4871</t>
  </si>
  <si>
    <t>douglasg@tpchousing.com</t>
  </si>
  <si>
    <t>Odu &amp; Associates</t>
  </si>
  <si>
    <t>31805 Temecula Pkwy #720</t>
  </si>
  <si>
    <t>Temecula, CA 92592-8203</t>
  </si>
  <si>
    <t>Nkechi Odu</t>
  </si>
  <si>
    <t>(310) 346-5491</t>
  </si>
  <si>
    <t>nkechi@odulaw.com</t>
  </si>
  <si>
    <t>Danco Builders Northwest</t>
  </si>
  <si>
    <t>(707) 825-1531</t>
  </si>
  <si>
    <t>Leavitt, Christensen &amp; Co., PLLC</t>
  </si>
  <si>
    <t>6149 N Meeker Pl #250</t>
  </si>
  <si>
    <t>Boise, ID 83713</t>
  </si>
  <si>
    <t>Ryan Leavitt</t>
  </si>
  <si>
    <t>(208) 287-5353</t>
  </si>
  <si>
    <t>ryan@leavittchristensen.com</t>
  </si>
  <si>
    <t>Redwood Energy</t>
  </si>
  <si>
    <t>1887 Q Street</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</si>
  <si>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</si>
  <si>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</si>
  <si>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</si>
  <si>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</si>
  <si>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</si>
  <si>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</si>
  <si>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</si>
  <si>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</si>
  <si>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</si>
  <si>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</si>
  <si>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</si>
  <si>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</si>
  <si>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</si>
  <si>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</si>
  <si>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</si>
  <si>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</si>
  <si>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</si>
  <si>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</si>
  <si>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</si>
  <si>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</si>
  <si>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</si>
  <si>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</si>
  <si>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</si>
  <si>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</si>
  <si>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</si>
  <si>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2020 W. El Camino Avenue, Suite 670 P.O. Box 952054</t>
  </si>
  <si>
    <t>Sacramento, CA 94252-2054</t>
  </si>
  <si>
    <t>(916) 263-2771</t>
  </si>
  <si>
    <t>Soft</t>
  </si>
  <si>
    <t xml:space="preserve">8335 Sunset Blvd, Ste 203 </t>
  </si>
  <si>
    <t>Equity</t>
  </si>
  <si>
    <t>Perm Loan</t>
  </si>
  <si>
    <t xml:space="preserve">Soft </t>
  </si>
  <si>
    <t>Johnson &amp; Johnson Investments, LLC</t>
  </si>
  <si>
    <t>Social Security Bus Stop</t>
  </si>
  <si>
    <t>1005 Parallel Dr</t>
  </si>
  <si>
    <t>Lakeport, 95453</t>
  </si>
  <si>
    <t>707-263-3334</t>
  </si>
  <si>
    <t>https://laketransit.org/wp-content/uploads/2023/02/Route-8-2.23.23.pdf</t>
  </si>
  <si>
    <t>Westside Community Park</t>
  </si>
  <si>
    <t xml:space="preserve">1401 Westside Park Rd. </t>
  </si>
  <si>
    <t>https://www.westsidecommunitypark.org/</t>
  </si>
  <si>
    <t xml:space="preserve">Lake County Library </t>
  </si>
  <si>
    <t>1425 N High Street</t>
  </si>
  <si>
    <t>707-263-8817</t>
  </si>
  <si>
    <t>https://www.lakecountyca.gov/597/Library</t>
  </si>
  <si>
    <t>Safeway</t>
  </si>
  <si>
    <t>1071 11th Street</t>
  </si>
  <si>
    <t>https://local.safeway.com/safeway/ca/lakeport/1071-11th-st.html?utm_source=G&amp;utm_medium=Maps&amp;utm_campaign=G+Places</t>
  </si>
  <si>
    <t>Terrace Middle School</t>
  </si>
  <si>
    <t xml:space="preserve">250 Lange Street </t>
  </si>
  <si>
    <t>Matt Bullard</t>
  </si>
  <si>
    <t>707-262-3000</t>
  </si>
  <si>
    <t>https://www.lakeport.k12.ca.us/Page/11#calendar1/20230324/month</t>
  </si>
  <si>
    <t>Sutter Lakeside Medical Practice</t>
  </si>
  <si>
    <t>987 Parallel Drive Ste. C</t>
  </si>
  <si>
    <t xml:space="preserve">Jennie Bingham </t>
  </si>
  <si>
    <t>707-262-5088</t>
  </si>
  <si>
    <t>https://www.sutterhealth.org/find-location/facility/sutter-lakeside-medical-practice</t>
  </si>
  <si>
    <t xml:space="preserve">Safeway-Pharmacy </t>
  </si>
  <si>
    <t>40%/60%</t>
  </si>
  <si>
    <t>One or Two Story Garden</t>
  </si>
  <si>
    <t>Citi Bank Construction Loan</t>
  </si>
  <si>
    <t>HCD CDBG DR</t>
  </si>
  <si>
    <t>Tax Credit Equity</t>
  </si>
  <si>
    <t>Citi Bank Perm Loan</t>
  </si>
  <si>
    <t>HCD IIG</t>
  </si>
  <si>
    <t>HCD PLHA</t>
  </si>
  <si>
    <t>Boston Financial Solar Equity</t>
  </si>
  <si>
    <t>Deferred Developer Fee</t>
  </si>
  <si>
    <t>Deffered Developer Fee</t>
  </si>
  <si>
    <t>CUAC</t>
  </si>
  <si>
    <t>PLHA</t>
  </si>
  <si>
    <t>IIG</t>
  </si>
  <si>
    <t>Inspection Fees</t>
  </si>
  <si>
    <t>Borrower's Attorney</t>
  </si>
  <si>
    <t>PG&amp;E Fees</t>
  </si>
  <si>
    <t>CDBG</t>
  </si>
  <si>
    <t xml:space="preserve">IIG </t>
  </si>
  <si>
    <t>SBRI 1400 Burbank, LLC</t>
  </si>
  <si>
    <t>Frank Schellinger</t>
  </si>
  <si>
    <t>Co-Trustee</t>
  </si>
  <si>
    <t>CDBG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</si>
</sst>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94">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169" fontId="129" fillId="53" borderId="0" xfId="0" applyNumberFormat="1" applyFont="1" applyFill="1" applyProtection="1">
      <protection locked="0"/>
    </xf>
    <xf numFmtId="3" fontId="129" fillId="53" borderId="0" xfId="0" applyNumberFormat="1" applyFont="1" applyFill="1" applyProtection="1">
      <protection locked="0"/>
    </xf>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4" fillId="7" borderId="12" xfId="766" applyFill="1" applyBorder="1" applyAlignment="1" applyProtection="1">
      <alignment horizontal="left" vertical="center"/>
      <protection locked="0"/>
    </xf>
    <xf numFmtId="3" fontId="4" fillId="51" borderId="3" xfId="766" applyNumberFormat="1" applyFill="1" applyBorder="1" applyAlignment="1" applyProtection="1">
      <alignment horizontal="center"/>
      <protection locked="0"/>
    </xf>
    <xf numFmtId="3" fontId="4" fillId="51" borderId="4" xfId="766" applyNumberFormat="1" applyFill="1" applyBorder="1" applyAlignment="1" applyProtection="1">
      <alignment horizontal="center"/>
      <protection locked="0"/>
    </xf>
    <xf numFmtId="3" fontId="4" fillId="51" borderId="8" xfId="766" applyNumberFormat="1" applyFill="1" applyBorder="1" applyAlignment="1" applyProtection="1">
      <alignment horizontal="center"/>
      <protection locked="0"/>
    </xf>
    <xf numFmtId="0" fontId="12" fillId="7" borderId="3" xfId="766" applyFont="1" applyFill="1" applyBorder="1" applyProtection="1">
      <protection locked="0"/>
    </xf>
    <xf numFmtId="0" fontId="12" fillId="7" borderId="4" xfId="766" applyFont="1" applyFill="1" applyBorder="1" applyProtection="1">
      <protection locked="0"/>
    </xf>
    <xf numFmtId="0" fontId="12" fillId="7" borderId="8" xfId="766" applyFont="1" applyFill="1" applyBorder="1" applyProtection="1">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5" xfId="0"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1" fontId="4" fillId="51" borderId="3" xfId="766" applyNumberFormat="1" applyFill="1" applyBorder="1" applyAlignment="1" applyProtection="1">
      <alignment horizontal="center"/>
      <protection locked="0"/>
    </xf>
    <xf numFmtId="1" fontId="4" fillId="51" borderId="4" xfId="766" applyNumberFormat="1" applyFill="1" applyBorder="1" applyAlignment="1" applyProtection="1">
      <alignment horizontal="center"/>
      <protection locked="0"/>
    </xf>
    <xf numFmtId="1" fontId="4" fillId="51" borderId="8" xfId="766" applyNumberFormat="1" applyFill="1" applyBorder="1" applyAlignment="1" applyProtection="1">
      <alignment horizontal="center"/>
      <protection locked="0"/>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7" borderId="3" xfId="766" applyNumberFormat="1" applyFill="1" applyBorder="1" applyProtection="1">
      <protection locked="0"/>
    </xf>
    <xf numFmtId="1" fontId="4" fillId="7" borderId="4" xfId="766" applyNumberFormat="1" applyFill="1" applyBorder="1" applyProtection="1">
      <protection locked="0"/>
    </xf>
    <xf numFmtId="1" fontId="4" fillId="7" borderId="8" xfId="766" applyNumberFormat="1" applyFill="1" applyBorder="1" applyProtection="1">
      <protection locked="0"/>
    </xf>
    <xf numFmtId="176" fontId="27" fillId="7" borderId="3" xfId="766" applyNumberFormat="1" applyFont="1" applyFill="1" applyBorder="1" applyProtection="1">
      <protection locked="0"/>
    </xf>
    <xf numFmtId="176" fontId="27" fillId="7" borderId="4" xfId="766" applyNumberFormat="1" applyFont="1" applyFill="1" applyBorder="1" applyProtection="1">
      <protection locked="0"/>
    </xf>
    <xf numFmtId="176" fontId="27" fillId="7" borderId="8" xfId="766" applyNumberFormat="1" applyFont="1" applyFill="1" applyBorder="1" applyProtection="1">
      <protection locked="0"/>
    </xf>
    <xf numFmtId="0" fontId="4" fillId="7" borderId="12" xfId="766" applyFill="1" applyBorder="1" applyProtection="1">
      <protection locked="0"/>
    </xf>
    <xf numFmtId="1" fontId="16" fillId="7" borderId="3" xfId="766" applyNumberFormat="1" applyFont="1" applyFill="1" applyBorder="1" applyProtection="1">
      <protection locked="0"/>
    </xf>
    <xf numFmtId="1" fontId="16" fillId="7" borderId="4" xfId="766" applyNumberFormat="1" applyFont="1" applyFill="1" applyBorder="1" applyProtection="1">
      <protection locked="0"/>
    </xf>
    <xf numFmtId="1" fontId="16" fillId="7" borderId="8" xfId="766" applyNumberFormat="1" applyFont="1" applyFill="1" applyBorder="1" applyProtection="1">
      <protection locked="0"/>
    </xf>
    <xf numFmtId="1" fontId="4" fillId="7" borderId="3" xfId="766" applyNumberFormat="1" applyFill="1" applyBorder="1" applyAlignment="1" applyProtection="1">
      <alignment horizontal="center"/>
      <protection locked="0"/>
    </xf>
    <xf numFmtId="1" fontId="4" fillId="7" borderId="4" xfId="766" applyNumberFormat="1" applyFill="1" applyBorder="1" applyAlignment="1" applyProtection="1">
      <alignment horizontal="center"/>
      <protection locked="0"/>
    </xf>
    <xf numFmtId="1" fontId="4" fillId="7" borderId="8" xfId="766" applyNumberFormat="1" applyFill="1" applyBorder="1" applyAlignment="1" applyProtection="1">
      <alignment horizontal="center"/>
      <protection locked="0"/>
    </xf>
    <xf numFmtId="176" fontId="4" fillId="51" borderId="3" xfId="766" applyNumberFormat="1" applyFill="1" applyBorder="1" applyAlignment="1" applyProtection="1">
      <alignment horizontal="center"/>
      <protection locked="0"/>
    </xf>
    <xf numFmtId="176" fontId="4" fillId="51" borderId="4" xfId="766" applyNumberFormat="1" applyFill="1" applyBorder="1" applyAlignment="1" applyProtection="1">
      <alignment horizontal="center"/>
      <protection locked="0"/>
    </xf>
    <xf numFmtId="176" fontId="4" fillId="51" borderId="8" xfId="766" applyNumberFormat="1" applyFill="1" applyBorder="1" applyAlignment="1" applyProtection="1">
      <alignment horizontal="center"/>
      <protection locked="0"/>
    </xf>
    <xf numFmtId="0" fontId="4" fillId="7" borderId="4" xfId="766"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0" borderId="5" xfId="0" applyBorder="1" applyAlignment="1">
      <alignment horizontal="left"/>
    </xf>
    <xf numFmtId="0" fontId="0" fillId="7" borderId="4" xfId="0" applyFill="1" applyBorder="1" applyAlignment="1" applyProtection="1">
      <alignment horizontal="center"/>
      <protection locked="0"/>
    </xf>
    <xf numFmtId="0" fontId="4" fillId="7" borderId="4" xfId="0" applyFont="1" applyFill="1" applyBorder="1" applyAlignment="1" applyProtection="1">
      <alignment vertic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4" fillId="0" borderId="3" xfId="0" applyFont="1" applyBorder="1"/>
    <xf numFmtId="0" fontId="4" fillId="0" borderId="4" xfId="0" applyFont="1" applyBorder="1"/>
    <xf numFmtId="0" fontId="4" fillId="0" borderId="8" xfId="0" applyFont="1" applyBorder="1"/>
    <xf numFmtId="0" fontId="47" fillId="0" borderId="3" xfId="0" applyFont="1" applyBorder="1"/>
    <xf numFmtId="0" fontId="47" fillId="0" borderId="4" xfId="0" applyFont="1" applyBorder="1"/>
    <xf numFmtId="0" fontId="47" fillId="0" borderId="8" xfId="0" applyFont="1" applyBorder="1"/>
    <xf numFmtId="0" fontId="0" fillId="0" borderId="3" xfId="0" applyBorder="1"/>
    <xf numFmtId="0" fontId="0" fillId="0" borderId="4" xfId="0" applyBorder="1"/>
    <xf numFmtId="0" fontId="0" fillId="0" borderId="8" xfId="0" applyBorder="1"/>
    <xf numFmtId="0" fontId="13" fillId="0" borderId="3" xfId="0" applyFont="1" applyBorder="1"/>
    <xf numFmtId="0" fontId="13" fillId="0" borderId="4" xfId="0" applyFont="1" applyBorder="1"/>
    <xf numFmtId="0" fontId="13" fillId="0" borderId="8" xfId="0" applyFont="1" applyBorder="1"/>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5" borderId="0" xfId="0" applyFont="1" applyFill="1" applyAlignment="1">
      <alignment horizontal="center" vertical="center"/>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169" fontId="142" fillId="0" borderId="0" xfId="0" applyNumberFormat="1" applyFont="1" applyAlignment="1">
      <alignment horizontal="center" vertical="center" wrapText="1"/>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169"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13" fillId="7" borderId="4"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0" fontId="13" fillId="7" borderId="9"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13" fillId="7" borderId="5" xfId="273" applyNumberFormat="1" applyFill="1" applyBorder="1" applyAlignment="1" applyProtection="1">
      <alignment horizontal="center"/>
      <protection locked="0"/>
    </xf>
    <xf numFmtId="0" fontId="4"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13" fillId="0" borderId="12" xfId="0" applyNumberFormat="1" applyFont="1" applyBorder="1" applyAlignment="1">
      <alignment horizontal="center"/>
    </xf>
    <xf numFmtId="49" fontId="13" fillId="7" borderId="5" xfId="273" applyNumberFormat="1" applyFill="1" applyBorder="1" applyAlignment="1" applyProtection="1">
      <alignment horizontal="center"/>
      <protection locked="0"/>
    </xf>
    <xf numFmtId="169" fontId="1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11" fillId="0" borderId="8" xfId="0" applyFont="1" applyBorder="1" applyAlignment="1">
      <alignment horizontal="center"/>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3" xfId="0" applyBorder="1" applyAlignment="1">
      <alignment horizontal="left"/>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169" fontId="12" fillId="0" borderId="0" xfId="0" applyNumberFormat="1" applyFont="1" applyAlignment="1">
      <alignment horizontal="left" vertical="top" wrapText="1"/>
    </xf>
    <xf numFmtId="0" fontId="0" fillId="0" borderId="0" xfId="0" applyAlignment="1">
      <alignment horizontal="center"/>
    </xf>
    <xf numFmtId="0" fontId="0" fillId="0" borderId="13" xfId="0" applyBorder="1" applyAlignment="1">
      <alignment horizontal="center"/>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4" fillId="7" borderId="12" xfId="0" applyNumberFormat="1" applyFont="1" applyFill="1" applyBorder="1" applyAlignment="1" applyProtection="1">
      <alignment horizontal="center"/>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11" fillId="0" borderId="12" xfId="0" applyFont="1" applyBorder="1" applyAlignment="1">
      <alignment horizontal="center" vertical="center" wrapText="1"/>
    </xf>
    <xf numFmtId="0" fontId="4" fillId="7" borderId="3" xfId="0"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0" fontId="0" fillId="7" borderId="5" xfId="0" applyFill="1" applyBorder="1" applyProtection="1">
      <protection locked="0"/>
    </xf>
    <xf numFmtId="0" fontId="4" fillId="7" borderId="12"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13" fillId="7" borderId="5" xfId="0" applyNumberFormat="1" applyFont="1" applyFill="1" applyBorder="1" applyAlignment="1" applyProtection="1">
      <alignment horizontal="left"/>
      <protection locked="0"/>
    </xf>
    <xf numFmtId="0" fontId="138"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10" fontId="4" fillId="7" borderId="4" xfId="0" applyNumberFormat="1" applyFont="1" applyFill="1" applyBorder="1" applyAlignment="1" applyProtection="1">
      <alignment horizontal="right"/>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0" xfId="0" applyFont="1" applyAlignment="1">
      <alignment horizontal="center" vertical="center"/>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wrapText="1"/>
      <protection locked="0"/>
    </xf>
    <xf numFmtId="0" fontId="4"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1" fontId="4" fillId="7" borderId="3" xfId="0" applyNumberFormat="1" applyFont="1" applyFill="1" applyBorder="1" applyAlignment="1" applyProtection="1">
      <alignment horizontal="center" wrapText="1"/>
      <protection locked="0"/>
    </xf>
    <xf numFmtId="0" fontId="11" fillId="0" borderId="12" xfId="0"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4" fillId="7" borderId="4" xfId="0" applyNumberFormat="1" applyFont="1" applyFill="1" applyBorder="1" applyAlignment="1" applyProtection="1">
      <alignment horizontal="right"/>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0" borderId="12" xfId="0" applyNumberFormat="1" applyBorder="1"/>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0" fillId="7" borderId="5" xfId="0" applyFill="1" applyBorder="1" applyAlignment="1" applyProtection="1">
      <alignment horizontal="center" vertical="center"/>
      <protection locked="0"/>
    </xf>
    <xf numFmtId="0" fontId="4"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167" fontId="4"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69" fontId="0" fillId="51" borderId="5" xfId="0" applyNumberFormat="1" applyFill="1" applyBorder="1" applyAlignment="1" applyProtection="1">
      <alignment horizontal="right"/>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0" fillId="0" borderId="0" xfId="0" applyAlignment="1">
      <alignment vertical="top" wrapText="1"/>
    </xf>
    <xf numFmtId="0" fontId="13" fillId="0" borderId="5" xfId="0" applyFont="1" applyBorder="1" applyAlignment="1">
      <alignment horizontal="left"/>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7" borderId="5" xfId="0" applyFont="1" applyFill="1" applyBorder="1" applyAlignment="1" applyProtection="1">
      <alignment horizontal="left"/>
      <protection locked="0"/>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F1CA7889-DA51-4734-ADE8-8BCBE81AC3B0}"/>
    <cellStyle name="20% - Accent1 2 2 2 3" xfId="1035" xr:uid="{DCF68B45-C3E4-4B40-A7DA-44F3A5D80149}"/>
    <cellStyle name="20% - Accent1 2 2 3" xfId="580" xr:uid="{00000000-0005-0000-0000-000005000000}"/>
    <cellStyle name="20% - Accent1 2 2 3 2" xfId="1450" xr:uid="{B7E67453-AF82-43A2-B839-2B0ACB3F9FE1}"/>
    <cellStyle name="20% - Accent1 2 2 4" xfId="1034" xr:uid="{2D7B7D85-B081-411F-804B-271F75789C28}"/>
    <cellStyle name="20% - Accent1 2 3" xfId="5" xr:uid="{00000000-0005-0000-0000-000006000000}"/>
    <cellStyle name="20% - Accent1 2 3 2" xfId="582" xr:uid="{00000000-0005-0000-0000-000007000000}"/>
    <cellStyle name="20% - Accent1 2 3 2 2" xfId="1452" xr:uid="{69C54324-BB3B-406C-A400-97B48E67AF89}"/>
    <cellStyle name="20% - Accent1 2 3 3" xfId="1036" xr:uid="{6216E4E4-FD65-4AC4-9C28-89D238657FE5}"/>
    <cellStyle name="20% - Accent1 2 4" xfId="579" xr:uid="{00000000-0005-0000-0000-000008000000}"/>
    <cellStyle name="20% - Accent1 2 4 2" xfId="1449" xr:uid="{41FBCBE0-0020-41C4-B2D3-CB824F4CDAB2}"/>
    <cellStyle name="20% - Accent1 2 5" xfId="1033" xr:uid="{F2F3D438-AB7D-49D8-9AE1-C5EE198B213D}"/>
    <cellStyle name="20% - Accent1 3" xfId="6" xr:uid="{00000000-0005-0000-0000-000009000000}"/>
    <cellStyle name="20% - Accent1 3 2" xfId="7" xr:uid="{00000000-0005-0000-0000-00000A000000}"/>
    <cellStyle name="20% - Accent1 3 2 2" xfId="584" xr:uid="{00000000-0005-0000-0000-00000B000000}"/>
    <cellStyle name="20% - Accent1 3 2 2 2" xfId="1454" xr:uid="{1543D153-28D9-4673-A177-01C55A62FC78}"/>
    <cellStyle name="20% - Accent1 3 2 3" xfId="1038" xr:uid="{39EFA43F-EB5F-4F10-8252-F1584E6D842A}"/>
    <cellStyle name="20% - Accent1 3 3" xfId="583" xr:uid="{00000000-0005-0000-0000-00000C000000}"/>
    <cellStyle name="20% - Accent1 3 3 2" xfId="1453" xr:uid="{4FFAC11E-75F1-443B-AF97-1093DCC82C91}"/>
    <cellStyle name="20% - Accent1 3 4" xfId="1037" xr:uid="{0B191F48-0F09-4959-9000-145D04041EAA}"/>
    <cellStyle name="20% - Accent1 4" xfId="8" xr:uid="{00000000-0005-0000-0000-00000D000000}"/>
    <cellStyle name="20% - Accent1 4 2" xfId="585" xr:uid="{00000000-0005-0000-0000-00000E000000}"/>
    <cellStyle name="20% - Accent1 4 2 2" xfId="1455" xr:uid="{EE94C331-4319-44A1-9DE6-6AECE4425FDB}"/>
    <cellStyle name="20% - Accent1 4 3" xfId="1039" xr:uid="{8FDC7960-A7BF-4C36-9877-5616AB6013BB}"/>
    <cellStyle name="20% - Accent1 5" xfId="578" xr:uid="{00000000-0005-0000-0000-00000F000000}"/>
    <cellStyle name="20% - Accent1 5 2" xfId="1448" xr:uid="{A3F46BA5-BD69-4C59-916B-70D9FC2D1C84}"/>
    <cellStyle name="20% - Accent1 6" xfId="1032" xr:uid="{B55DD6F1-608F-42F5-A996-2FFC73630C3E}"/>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DCEA2F7E-608D-42AA-8421-9E6BDE2A1EB5}"/>
    <cellStyle name="20% - Accent2 2 2 2 3" xfId="1043" xr:uid="{AFBD52D8-DEB5-47AB-97D7-9F4113A775AC}"/>
    <cellStyle name="20% - Accent2 2 2 3" xfId="588" xr:uid="{00000000-0005-0000-0000-000015000000}"/>
    <cellStyle name="20% - Accent2 2 2 3 2" xfId="1458" xr:uid="{3CF06158-0711-47B1-8917-E7B7D81D5BAD}"/>
    <cellStyle name="20% - Accent2 2 2 4" xfId="1042" xr:uid="{37D8EE09-A764-423B-A922-60772112B865}"/>
    <cellStyle name="20% - Accent2 2 3" xfId="13" xr:uid="{00000000-0005-0000-0000-000016000000}"/>
    <cellStyle name="20% - Accent2 2 3 2" xfId="590" xr:uid="{00000000-0005-0000-0000-000017000000}"/>
    <cellStyle name="20% - Accent2 2 3 2 2" xfId="1460" xr:uid="{E153A9C6-D7F0-49B2-B52E-CF2020633B5D}"/>
    <cellStyle name="20% - Accent2 2 3 3" xfId="1044" xr:uid="{E2F09A25-1F59-4757-84CB-1B07B370578D}"/>
    <cellStyle name="20% - Accent2 2 4" xfId="587" xr:uid="{00000000-0005-0000-0000-000018000000}"/>
    <cellStyle name="20% - Accent2 2 4 2" xfId="1457" xr:uid="{2734ECBC-D301-4392-BD1E-0BEE4840F8D3}"/>
    <cellStyle name="20% - Accent2 2 5" xfId="1041" xr:uid="{72167392-10DB-4E44-891A-4285473BD1B0}"/>
    <cellStyle name="20% - Accent2 3" xfId="14" xr:uid="{00000000-0005-0000-0000-000019000000}"/>
    <cellStyle name="20% - Accent2 3 2" xfId="15" xr:uid="{00000000-0005-0000-0000-00001A000000}"/>
    <cellStyle name="20% - Accent2 3 2 2" xfId="592" xr:uid="{00000000-0005-0000-0000-00001B000000}"/>
    <cellStyle name="20% - Accent2 3 2 2 2" xfId="1462" xr:uid="{3B2DB8CD-159C-4DA4-8827-244510C3837D}"/>
    <cellStyle name="20% - Accent2 3 2 3" xfId="1046" xr:uid="{1E6F02D0-3CA1-4861-8B29-5BB8145929B4}"/>
    <cellStyle name="20% - Accent2 3 3" xfId="591" xr:uid="{00000000-0005-0000-0000-00001C000000}"/>
    <cellStyle name="20% - Accent2 3 3 2" xfId="1461" xr:uid="{A263245D-9006-4039-B775-EE9AB89CAA27}"/>
    <cellStyle name="20% - Accent2 3 4" xfId="1045" xr:uid="{A8567570-8764-426B-83D5-351016711A29}"/>
    <cellStyle name="20% - Accent2 4" xfId="16" xr:uid="{00000000-0005-0000-0000-00001D000000}"/>
    <cellStyle name="20% - Accent2 4 2" xfId="593" xr:uid="{00000000-0005-0000-0000-00001E000000}"/>
    <cellStyle name="20% - Accent2 4 2 2" xfId="1463" xr:uid="{49D10091-22D5-47A9-9E23-0BA6DC6AD9C1}"/>
    <cellStyle name="20% - Accent2 4 3" xfId="1047" xr:uid="{6E42CB36-5C61-495A-8377-B7BA55366235}"/>
    <cellStyle name="20% - Accent2 5" xfId="586" xr:uid="{00000000-0005-0000-0000-00001F000000}"/>
    <cellStyle name="20% - Accent2 5 2" xfId="1456" xr:uid="{4E9EF8B3-99EF-4832-8350-0B6338B7200A}"/>
    <cellStyle name="20% - Accent2 6" xfId="1040" xr:uid="{20B19300-014C-4144-8225-602353F0A151}"/>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B71675F6-D083-42D8-9D86-00D9913DC1A0}"/>
    <cellStyle name="20% - Accent3 2 2 2 3" xfId="1051" xr:uid="{02478661-1516-4A9F-9F99-303500288F9C}"/>
    <cellStyle name="20% - Accent3 2 2 3" xfId="596" xr:uid="{00000000-0005-0000-0000-000025000000}"/>
    <cellStyle name="20% - Accent3 2 2 3 2" xfId="1466" xr:uid="{C50F7F74-C7ED-40E9-9012-16BBF169CB68}"/>
    <cellStyle name="20% - Accent3 2 2 4" xfId="1050" xr:uid="{C1F0D5FE-45BA-4E5B-862D-6E4BDE43FFC7}"/>
    <cellStyle name="20% - Accent3 2 3" xfId="21" xr:uid="{00000000-0005-0000-0000-000026000000}"/>
    <cellStyle name="20% - Accent3 2 3 2" xfId="598" xr:uid="{00000000-0005-0000-0000-000027000000}"/>
    <cellStyle name="20% - Accent3 2 3 2 2" xfId="1468" xr:uid="{002D6528-6A95-49CD-9D94-E77DFF141587}"/>
    <cellStyle name="20% - Accent3 2 3 3" xfId="1052" xr:uid="{28404238-D59F-47EB-A79A-3EF3BE3CAF63}"/>
    <cellStyle name="20% - Accent3 2 4" xfId="595" xr:uid="{00000000-0005-0000-0000-000028000000}"/>
    <cellStyle name="20% - Accent3 2 4 2" xfId="1465" xr:uid="{C05E2BB5-E781-498D-A12C-5DD1C2D5D09A}"/>
    <cellStyle name="20% - Accent3 2 5" xfId="1049" xr:uid="{F70BD1CF-82C1-46A4-9D33-1C489474908D}"/>
    <cellStyle name="20% - Accent3 3" xfId="22" xr:uid="{00000000-0005-0000-0000-000029000000}"/>
    <cellStyle name="20% - Accent3 3 2" xfId="23" xr:uid="{00000000-0005-0000-0000-00002A000000}"/>
    <cellStyle name="20% - Accent3 3 2 2" xfId="600" xr:uid="{00000000-0005-0000-0000-00002B000000}"/>
    <cellStyle name="20% - Accent3 3 2 2 2" xfId="1470" xr:uid="{E4473A98-D757-4DF0-8F97-B4E2A3D26CC8}"/>
    <cellStyle name="20% - Accent3 3 2 3" xfId="1054" xr:uid="{7417C82A-C216-41B1-B79F-9DA63ED16E2D}"/>
    <cellStyle name="20% - Accent3 3 3" xfId="599" xr:uid="{00000000-0005-0000-0000-00002C000000}"/>
    <cellStyle name="20% - Accent3 3 3 2" xfId="1469" xr:uid="{6587916A-E42F-4EAD-A777-7E96440CC334}"/>
    <cellStyle name="20% - Accent3 3 4" xfId="1053" xr:uid="{52F1A649-2E7D-46BF-B162-2C81A10FC62A}"/>
    <cellStyle name="20% - Accent3 4" xfId="24" xr:uid="{00000000-0005-0000-0000-00002D000000}"/>
    <cellStyle name="20% - Accent3 4 2" xfId="601" xr:uid="{00000000-0005-0000-0000-00002E000000}"/>
    <cellStyle name="20% - Accent3 4 2 2" xfId="1471" xr:uid="{F4EC820F-C700-4E52-B405-D517237939BD}"/>
    <cellStyle name="20% - Accent3 4 3" xfId="1055" xr:uid="{C0AC6758-95AD-4525-A174-F13471027845}"/>
    <cellStyle name="20% - Accent3 5" xfId="594" xr:uid="{00000000-0005-0000-0000-00002F000000}"/>
    <cellStyle name="20% - Accent3 5 2" xfId="1464" xr:uid="{04DB8C1F-0DF5-4B5D-A018-C714AB8439B3}"/>
    <cellStyle name="20% - Accent3 6" xfId="1048" xr:uid="{8DB8D8C0-B7B2-4D17-A1CF-410A52290725}"/>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D3492B17-0237-4747-A126-4791CB7CA8CE}"/>
    <cellStyle name="20% - Accent4 2 2 2 3" xfId="1059" xr:uid="{CD6FEE99-D170-4E24-B656-34B1DB478001}"/>
    <cellStyle name="20% - Accent4 2 2 3" xfId="604" xr:uid="{00000000-0005-0000-0000-000035000000}"/>
    <cellStyle name="20% - Accent4 2 2 3 2" xfId="1474" xr:uid="{5D841E60-F051-4B3A-98AD-CFED3FBB4DB9}"/>
    <cellStyle name="20% - Accent4 2 2 4" xfId="1058" xr:uid="{B09ECF48-34AD-40AB-8890-B4AC3E91A2B9}"/>
    <cellStyle name="20% - Accent4 2 3" xfId="29" xr:uid="{00000000-0005-0000-0000-000036000000}"/>
    <cellStyle name="20% - Accent4 2 3 2" xfId="606" xr:uid="{00000000-0005-0000-0000-000037000000}"/>
    <cellStyle name="20% - Accent4 2 3 2 2" xfId="1476" xr:uid="{2CC42908-221D-4711-8D3F-9B414E64FCA6}"/>
    <cellStyle name="20% - Accent4 2 3 3" xfId="1060" xr:uid="{5C18C04F-FCD4-4461-AE59-0B415A5D1ED9}"/>
    <cellStyle name="20% - Accent4 2 4" xfId="603" xr:uid="{00000000-0005-0000-0000-000038000000}"/>
    <cellStyle name="20% - Accent4 2 4 2" xfId="1473" xr:uid="{1BF5758A-6E15-4EE4-8978-B5B67C1C8DA5}"/>
    <cellStyle name="20% - Accent4 2 5" xfId="1057" xr:uid="{9FC1D9A4-9207-4450-9F64-336CE154523A}"/>
    <cellStyle name="20% - Accent4 3" xfId="30" xr:uid="{00000000-0005-0000-0000-000039000000}"/>
    <cellStyle name="20% - Accent4 3 2" xfId="31" xr:uid="{00000000-0005-0000-0000-00003A000000}"/>
    <cellStyle name="20% - Accent4 3 2 2" xfId="608" xr:uid="{00000000-0005-0000-0000-00003B000000}"/>
    <cellStyle name="20% - Accent4 3 2 2 2" xfId="1478" xr:uid="{36CADCFD-EFB3-4BCB-86FC-9D6959C8D1AE}"/>
    <cellStyle name="20% - Accent4 3 2 3" xfId="1062" xr:uid="{99FF6692-958F-44E5-963E-4302D0CA4642}"/>
    <cellStyle name="20% - Accent4 3 3" xfId="607" xr:uid="{00000000-0005-0000-0000-00003C000000}"/>
    <cellStyle name="20% - Accent4 3 3 2" xfId="1477" xr:uid="{C34BD662-690B-438A-BB40-5C8373BCD914}"/>
    <cellStyle name="20% - Accent4 3 4" xfId="1061" xr:uid="{1AC1BB76-AFFF-4F23-AF32-0380E00E3721}"/>
    <cellStyle name="20% - Accent4 4" xfId="32" xr:uid="{00000000-0005-0000-0000-00003D000000}"/>
    <cellStyle name="20% - Accent4 4 2" xfId="609" xr:uid="{00000000-0005-0000-0000-00003E000000}"/>
    <cellStyle name="20% - Accent4 4 2 2" xfId="1479" xr:uid="{0DFB5EFE-BFE3-40C7-B730-C324A9625EB4}"/>
    <cellStyle name="20% - Accent4 4 3" xfId="1063" xr:uid="{B3680317-1C44-4FCD-B5DD-C29305514382}"/>
    <cellStyle name="20% - Accent4 5" xfId="602" xr:uid="{00000000-0005-0000-0000-00003F000000}"/>
    <cellStyle name="20% - Accent4 5 2" xfId="1472" xr:uid="{C4F6B93D-06D6-437F-AFC8-187D458E5CF6}"/>
    <cellStyle name="20% - Accent4 6" xfId="1056" xr:uid="{EF963F16-D681-4519-9845-7E09AD0B45C6}"/>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DBECDE38-9C09-4906-9594-DD3347E56FF7}"/>
    <cellStyle name="20% - Accent5 2 2 2 3" xfId="1067" xr:uid="{4F926FFB-FE24-4839-A10F-FA867A7837CF}"/>
    <cellStyle name="20% - Accent5 2 2 3" xfId="612" xr:uid="{00000000-0005-0000-0000-000045000000}"/>
    <cellStyle name="20% - Accent5 2 2 3 2" xfId="1482" xr:uid="{F8FF6BA5-F144-4C28-8441-E1580A3B9F4D}"/>
    <cellStyle name="20% - Accent5 2 2 4" xfId="1066" xr:uid="{C971C331-6B08-4EEF-9AAF-244B4C13CC02}"/>
    <cellStyle name="20% - Accent5 2 3" xfId="37" xr:uid="{00000000-0005-0000-0000-000046000000}"/>
    <cellStyle name="20% - Accent5 2 3 2" xfId="614" xr:uid="{00000000-0005-0000-0000-000047000000}"/>
    <cellStyle name="20% - Accent5 2 3 2 2" xfId="1484" xr:uid="{4E872F38-1D52-409A-86FA-6E2FD1F0A702}"/>
    <cellStyle name="20% - Accent5 2 3 3" xfId="1068" xr:uid="{EE4F222C-1EA9-4AB0-815F-009488B16B64}"/>
    <cellStyle name="20% - Accent5 2 4" xfId="611" xr:uid="{00000000-0005-0000-0000-000048000000}"/>
    <cellStyle name="20% - Accent5 2 4 2" xfId="1481" xr:uid="{833A4000-94BA-4455-B958-487ABCB43DE3}"/>
    <cellStyle name="20% - Accent5 2 5" xfId="1065" xr:uid="{FAE2C441-B1C5-4173-A636-93E85CE85188}"/>
    <cellStyle name="20% - Accent5 3" xfId="38" xr:uid="{00000000-0005-0000-0000-000049000000}"/>
    <cellStyle name="20% - Accent5 3 2" xfId="39" xr:uid="{00000000-0005-0000-0000-00004A000000}"/>
    <cellStyle name="20% - Accent5 3 2 2" xfId="616" xr:uid="{00000000-0005-0000-0000-00004B000000}"/>
    <cellStyle name="20% - Accent5 3 2 2 2" xfId="1486" xr:uid="{09B0BC25-FC33-4F07-9B67-77424D8EEEDA}"/>
    <cellStyle name="20% - Accent5 3 2 3" xfId="1070" xr:uid="{012565A9-3BF4-4C41-89E6-3F9180455B84}"/>
    <cellStyle name="20% - Accent5 3 3" xfId="615" xr:uid="{00000000-0005-0000-0000-00004C000000}"/>
    <cellStyle name="20% - Accent5 3 3 2" xfId="1485" xr:uid="{00F85721-D370-4A8D-BE93-B32739D16286}"/>
    <cellStyle name="20% - Accent5 3 4" xfId="1069" xr:uid="{A4E740B0-3178-464B-8C5F-5D250984615C}"/>
    <cellStyle name="20% - Accent5 4" xfId="40" xr:uid="{00000000-0005-0000-0000-00004D000000}"/>
    <cellStyle name="20% - Accent5 4 2" xfId="617" xr:uid="{00000000-0005-0000-0000-00004E000000}"/>
    <cellStyle name="20% - Accent5 4 2 2" xfId="1487" xr:uid="{C7F1DC42-41D9-483B-9097-0B23F7BAECEC}"/>
    <cellStyle name="20% - Accent5 4 3" xfId="1071" xr:uid="{24DBB5D6-A9C9-4171-997B-0EB92F3DB48C}"/>
    <cellStyle name="20% - Accent5 5" xfId="610" xr:uid="{00000000-0005-0000-0000-00004F000000}"/>
    <cellStyle name="20% - Accent5 5 2" xfId="1480" xr:uid="{07C78E2E-703D-4D31-9E6F-28E62CF282B4}"/>
    <cellStyle name="20% - Accent5 6" xfId="1064" xr:uid="{72845DA1-7C72-4166-81CF-0096498CC20C}"/>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A6DCF4A7-2453-48E8-8631-97D64025A61B}"/>
    <cellStyle name="20% - Accent6 2 2 2 3" xfId="1075" xr:uid="{589547F2-1893-4D56-A24D-B9547920BB65}"/>
    <cellStyle name="20% - Accent6 2 2 3" xfId="620" xr:uid="{00000000-0005-0000-0000-000055000000}"/>
    <cellStyle name="20% - Accent6 2 2 3 2" xfId="1490" xr:uid="{FDE7F2EF-92DC-4692-862F-912391672E92}"/>
    <cellStyle name="20% - Accent6 2 2 4" xfId="1074" xr:uid="{7CECFF27-2F6E-482C-844A-50D808C80FDA}"/>
    <cellStyle name="20% - Accent6 2 3" xfId="45" xr:uid="{00000000-0005-0000-0000-000056000000}"/>
    <cellStyle name="20% - Accent6 2 3 2" xfId="622" xr:uid="{00000000-0005-0000-0000-000057000000}"/>
    <cellStyle name="20% - Accent6 2 3 2 2" xfId="1492" xr:uid="{9818A35A-8787-40BF-A6BA-31614EBF7F28}"/>
    <cellStyle name="20% - Accent6 2 3 3" xfId="1076" xr:uid="{1F41C1C3-3753-4CD9-90BE-A15009546A51}"/>
    <cellStyle name="20% - Accent6 2 4" xfId="619" xr:uid="{00000000-0005-0000-0000-000058000000}"/>
    <cellStyle name="20% - Accent6 2 4 2" xfId="1489" xr:uid="{0795C6BC-B6AD-4000-82D6-36D23AB6AD6F}"/>
    <cellStyle name="20% - Accent6 2 5" xfId="1073" xr:uid="{DC94DDC3-EB06-4BF1-8847-EED6DC5A6582}"/>
    <cellStyle name="20% - Accent6 3" xfId="46" xr:uid="{00000000-0005-0000-0000-000059000000}"/>
    <cellStyle name="20% - Accent6 3 2" xfId="47" xr:uid="{00000000-0005-0000-0000-00005A000000}"/>
    <cellStyle name="20% - Accent6 3 2 2" xfId="624" xr:uid="{00000000-0005-0000-0000-00005B000000}"/>
    <cellStyle name="20% - Accent6 3 2 2 2" xfId="1494" xr:uid="{EEB007C8-F333-45AD-B34A-5BF95333F1EA}"/>
    <cellStyle name="20% - Accent6 3 2 3" xfId="1078" xr:uid="{FF97A8CF-13D8-4D2D-87EC-30662F9F0704}"/>
    <cellStyle name="20% - Accent6 3 3" xfId="623" xr:uid="{00000000-0005-0000-0000-00005C000000}"/>
    <cellStyle name="20% - Accent6 3 3 2" xfId="1493" xr:uid="{1B926395-670F-424E-871F-B63775D96E36}"/>
    <cellStyle name="20% - Accent6 3 4" xfId="1077" xr:uid="{67EB4490-1F03-4D13-A6CB-2265E2CB9210}"/>
    <cellStyle name="20% - Accent6 4" xfId="48" xr:uid="{00000000-0005-0000-0000-00005D000000}"/>
    <cellStyle name="20% - Accent6 4 2" xfId="625" xr:uid="{00000000-0005-0000-0000-00005E000000}"/>
    <cellStyle name="20% - Accent6 4 2 2" xfId="1495" xr:uid="{EBAF0082-FA48-467C-86AF-63235F5ED5BB}"/>
    <cellStyle name="20% - Accent6 4 3" xfId="1079" xr:uid="{27BF0E5C-471E-4117-8EAB-4AEA5E02249E}"/>
    <cellStyle name="20% - Accent6 5" xfId="618" xr:uid="{00000000-0005-0000-0000-00005F000000}"/>
    <cellStyle name="20% - Accent6 5 2" xfId="1488" xr:uid="{2F58EA2D-653D-4984-A741-7772400031FE}"/>
    <cellStyle name="20% - Accent6 6" xfId="1072" xr:uid="{58A4D146-1D08-4404-8C1F-F36FE48849C3}"/>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037B63CA-E85E-468B-A37F-0B8B69D45BE9}"/>
    <cellStyle name="40% - Accent1 2 2 2 3" xfId="1083" xr:uid="{5AFB1C04-D8EF-481E-AA8E-BDC713AE052D}"/>
    <cellStyle name="40% - Accent1 2 2 3" xfId="628" xr:uid="{00000000-0005-0000-0000-000065000000}"/>
    <cellStyle name="40% - Accent1 2 2 3 2" xfId="1498" xr:uid="{EE6192DF-0874-45E3-B806-0C06349EAF45}"/>
    <cellStyle name="40% - Accent1 2 2 4" xfId="1082" xr:uid="{5153A3CB-83D6-4E6E-8760-9B4EF07657B2}"/>
    <cellStyle name="40% - Accent1 2 3" xfId="53" xr:uid="{00000000-0005-0000-0000-000066000000}"/>
    <cellStyle name="40% - Accent1 2 3 2" xfId="630" xr:uid="{00000000-0005-0000-0000-000067000000}"/>
    <cellStyle name="40% - Accent1 2 3 2 2" xfId="1500" xr:uid="{5AAC0CC4-E5DD-437B-A551-784386D4BB6F}"/>
    <cellStyle name="40% - Accent1 2 3 3" xfId="1084" xr:uid="{D740521B-DCAE-45D7-8D10-9A2F342B7346}"/>
    <cellStyle name="40% - Accent1 2 4" xfId="627" xr:uid="{00000000-0005-0000-0000-000068000000}"/>
    <cellStyle name="40% - Accent1 2 4 2" xfId="1497" xr:uid="{C3827A8B-68FE-401B-B2B0-B5C7414B39DC}"/>
    <cellStyle name="40% - Accent1 2 5" xfId="1081" xr:uid="{C3644B9B-EFE9-475E-9D30-C801DF8B43F8}"/>
    <cellStyle name="40% - Accent1 3" xfId="54" xr:uid="{00000000-0005-0000-0000-000069000000}"/>
    <cellStyle name="40% - Accent1 3 2" xfId="55" xr:uid="{00000000-0005-0000-0000-00006A000000}"/>
    <cellStyle name="40% - Accent1 3 2 2" xfId="632" xr:uid="{00000000-0005-0000-0000-00006B000000}"/>
    <cellStyle name="40% - Accent1 3 2 2 2" xfId="1502" xr:uid="{349ABCF6-BCD8-49B6-BA6C-B7D139F67E88}"/>
    <cellStyle name="40% - Accent1 3 2 3" xfId="1086" xr:uid="{4F83160C-F130-4067-8AF5-24FC724E0F8B}"/>
    <cellStyle name="40% - Accent1 3 3" xfId="631" xr:uid="{00000000-0005-0000-0000-00006C000000}"/>
    <cellStyle name="40% - Accent1 3 3 2" xfId="1501" xr:uid="{86A81B7A-1343-4FCC-8D81-03F823E79491}"/>
    <cellStyle name="40% - Accent1 3 4" xfId="1085" xr:uid="{23E245CC-FD9D-441E-83A5-4B5A0C2CE55E}"/>
    <cellStyle name="40% - Accent1 4" xfId="56" xr:uid="{00000000-0005-0000-0000-00006D000000}"/>
    <cellStyle name="40% - Accent1 4 2" xfId="633" xr:uid="{00000000-0005-0000-0000-00006E000000}"/>
    <cellStyle name="40% - Accent1 4 2 2" xfId="1503" xr:uid="{BA88781E-1F60-474B-9745-A1C9D52B7732}"/>
    <cellStyle name="40% - Accent1 4 3" xfId="1087" xr:uid="{783A9B82-3ACC-4075-92AE-FDFD44378700}"/>
    <cellStyle name="40% - Accent1 5" xfId="626" xr:uid="{00000000-0005-0000-0000-00006F000000}"/>
    <cellStyle name="40% - Accent1 5 2" xfId="1496" xr:uid="{7172CA66-764E-4C37-BA01-14867EC9B9F3}"/>
    <cellStyle name="40% - Accent1 6" xfId="1080" xr:uid="{3EA2FD59-65B5-4F29-9460-79716F2A264E}"/>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286A23F9-AC25-4A48-A051-7AECC014DCD5}"/>
    <cellStyle name="40% - Accent2 2 2 2 3" xfId="1091" xr:uid="{AE36C40A-F54D-4D52-9791-F430469B88BC}"/>
    <cellStyle name="40% - Accent2 2 2 3" xfId="636" xr:uid="{00000000-0005-0000-0000-000075000000}"/>
    <cellStyle name="40% - Accent2 2 2 3 2" xfId="1506" xr:uid="{A499AE05-1A38-4F02-AF0C-70A11B060275}"/>
    <cellStyle name="40% - Accent2 2 2 4" xfId="1090" xr:uid="{0A54CA4F-3CC2-4874-99AF-19886F9C9255}"/>
    <cellStyle name="40% - Accent2 2 3" xfId="61" xr:uid="{00000000-0005-0000-0000-000076000000}"/>
    <cellStyle name="40% - Accent2 2 3 2" xfId="638" xr:uid="{00000000-0005-0000-0000-000077000000}"/>
    <cellStyle name="40% - Accent2 2 3 2 2" xfId="1508" xr:uid="{DA527D9A-B90E-4708-8265-6AFAD63A48A1}"/>
    <cellStyle name="40% - Accent2 2 3 3" xfId="1092" xr:uid="{29942A28-91D3-4135-8A3B-18278FC3A43E}"/>
    <cellStyle name="40% - Accent2 2 4" xfId="635" xr:uid="{00000000-0005-0000-0000-000078000000}"/>
    <cellStyle name="40% - Accent2 2 4 2" xfId="1505" xr:uid="{4F7D4AF4-E371-4967-8ABC-EBFA898F663D}"/>
    <cellStyle name="40% - Accent2 2 5" xfId="1089" xr:uid="{AF1D0CC9-7425-4CFA-9A38-2C64E05C9454}"/>
    <cellStyle name="40% - Accent2 3" xfId="62" xr:uid="{00000000-0005-0000-0000-000079000000}"/>
    <cellStyle name="40% - Accent2 3 2" xfId="63" xr:uid="{00000000-0005-0000-0000-00007A000000}"/>
    <cellStyle name="40% - Accent2 3 2 2" xfId="640" xr:uid="{00000000-0005-0000-0000-00007B000000}"/>
    <cellStyle name="40% - Accent2 3 2 2 2" xfId="1510" xr:uid="{7024C570-16F2-4F06-A691-EFD6093D2714}"/>
    <cellStyle name="40% - Accent2 3 2 3" xfId="1094" xr:uid="{C3081AE3-FDFD-47FD-A465-E7512C38DA22}"/>
    <cellStyle name="40% - Accent2 3 3" xfId="639" xr:uid="{00000000-0005-0000-0000-00007C000000}"/>
    <cellStyle name="40% - Accent2 3 3 2" xfId="1509" xr:uid="{CBEF1983-C8BD-4777-9514-2E9CA132E1C2}"/>
    <cellStyle name="40% - Accent2 3 4" xfId="1093" xr:uid="{2766F66F-534D-4D5C-B997-9859397A79E8}"/>
    <cellStyle name="40% - Accent2 4" xfId="64" xr:uid="{00000000-0005-0000-0000-00007D000000}"/>
    <cellStyle name="40% - Accent2 4 2" xfId="641" xr:uid="{00000000-0005-0000-0000-00007E000000}"/>
    <cellStyle name="40% - Accent2 4 2 2" xfId="1511" xr:uid="{617AB356-C98B-4D65-9FEF-BFC39462493B}"/>
    <cellStyle name="40% - Accent2 4 3" xfId="1095" xr:uid="{F62546D8-33B5-47E8-BE08-DC3B715ECB7B}"/>
    <cellStyle name="40% - Accent2 5" xfId="634" xr:uid="{00000000-0005-0000-0000-00007F000000}"/>
    <cellStyle name="40% - Accent2 5 2" xfId="1504" xr:uid="{F7891ECE-8ACF-47BC-96FA-5ADE0FA3CFBD}"/>
    <cellStyle name="40% - Accent2 6" xfId="1088" xr:uid="{5AEC83F0-F7EE-4A5F-B2A0-C3F39F2FC3CF}"/>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04FB99D5-0009-4963-A0B1-43FD702042B8}"/>
    <cellStyle name="40% - Accent3 2 2 2 3" xfId="1099" xr:uid="{B8618FBA-7432-4CBC-94CA-4A2D424AA527}"/>
    <cellStyle name="40% - Accent3 2 2 3" xfId="644" xr:uid="{00000000-0005-0000-0000-000085000000}"/>
    <cellStyle name="40% - Accent3 2 2 3 2" xfId="1514" xr:uid="{FFE7F5BE-98ED-4BC2-B610-E99A444AD468}"/>
    <cellStyle name="40% - Accent3 2 2 4" xfId="1098" xr:uid="{A0A99AF7-ED4F-4321-A807-C1658495C17A}"/>
    <cellStyle name="40% - Accent3 2 3" xfId="69" xr:uid="{00000000-0005-0000-0000-000086000000}"/>
    <cellStyle name="40% - Accent3 2 3 2" xfId="646" xr:uid="{00000000-0005-0000-0000-000087000000}"/>
    <cellStyle name="40% - Accent3 2 3 2 2" xfId="1516" xr:uid="{60EB1CCF-E2A2-43AA-A5E4-0274611B4BBA}"/>
    <cellStyle name="40% - Accent3 2 3 3" xfId="1100" xr:uid="{A3B67A41-CBB9-4865-B4BA-F96ADD83486C}"/>
    <cellStyle name="40% - Accent3 2 4" xfId="643" xr:uid="{00000000-0005-0000-0000-000088000000}"/>
    <cellStyle name="40% - Accent3 2 4 2" xfId="1513" xr:uid="{3076A496-7DF4-45A5-B641-A563C9BA1D1A}"/>
    <cellStyle name="40% - Accent3 2 5" xfId="1097" xr:uid="{D1662F93-08E5-4369-A2FD-7705C5B862A7}"/>
    <cellStyle name="40% - Accent3 3" xfId="70" xr:uid="{00000000-0005-0000-0000-000089000000}"/>
    <cellStyle name="40% - Accent3 3 2" xfId="71" xr:uid="{00000000-0005-0000-0000-00008A000000}"/>
    <cellStyle name="40% - Accent3 3 2 2" xfId="648" xr:uid="{00000000-0005-0000-0000-00008B000000}"/>
    <cellStyle name="40% - Accent3 3 2 2 2" xfId="1518" xr:uid="{F7F20836-9ABC-427B-858F-8F4E4C1251ED}"/>
    <cellStyle name="40% - Accent3 3 2 3" xfId="1102" xr:uid="{CD21D9B5-72F5-4974-8C97-91179A0F3F95}"/>
    <cellStyle name="40% - Accent3 3 3" xfId="647" xr:uid="{00000000-0005-0000-0000-00008C000000}"/>
    <cellStyle name="40% - Accent3 3 3 2" xfId="1517" xr:uid="{AE97EA6F-2D3A-4B72-8279-5E83BBC9FFE7}"/>
    <cellStyle name="40% - Accent3 3 4" xfId="1101" xr:uid="{7CFE5A08-7608-40BE-A567-9CD262444194}"/>
    <cellStyle name="40% - Accent3 4" xfId="72" xr:uid="{00000000-0005-0000-0000-00008D000000}"/>
    <cellStyle name="40% - Accent3 4 2" xfId="649" xr:uid="{00000000-0005-0000-0000-00008E000000}"/>
    <cellStyle name="40% - Accent3 4 2 2" xfId="1519" xr:uid="{1E96CA03-FB51-4DFB-B98D-CC15CFFC668A}"/>
    <cellStyle name="40% - Accent3 4 3" xfId="1103" xr:uid="{0193AB6B-25F9-45E0-817E-5129A1B2CF54}"/>
    <cellStyle name="40% - Accent3 5" xfId="642" xr:uid="{00000000-0005-0000-0000-00008F000000}"/>
    <cellStyle name="40% - Accent3 5 2" xfId="1512" xr:uid="{69E4A676-CEF4-4F88-BA09-6461B906A464}"/>
    <cellStyle name="40% - Accent3 6" xfId="1096" xr:uid="{A952C828-6B42-44FB-8255-4568CF2398AA}"/>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CE9EDC9F-8D75-4FEF-8219-5EE858302558}"/>
    <cellStyle name="40% - Accent4 2 2 2 3" xfId="1107" xr:uid="{E7CFB8E3-FFDD-4751-A80E-CF00F7F9DDC0}"/>
    <cellStyle name="40% - Accent4 2 2 3" xfId="652" xr:uid="{00000000-0005-0000-0000-000095000000}"/>
    <cellStyle name="40% - Accent4 2 2 3 2" xfId="1522" xr:uid="{5AC3BB52-B4D0-44F7-B96D-4C0879C3BBC4}"/>
    <cellStyle name="40% - Accent4 2 2 4" xfId="1106" xr:uid="{069E4A09-4A99-458E-82F0-0E4CC1005D5C}"/>
    <cellStyle name="40% - Accent4 2 3" xfId="77" xr:uid="{00000000-0005-0000-0000-000096000000}"/>
    <cellStyle name="40% - Accent4 2 3 2" xfId="654" xr:uid="{00000000-0005-0000-0000-000097000000}"/>
    <cellStyle name="40% - Accent4 2 3 2 2" xfId="1524" xr:uid="{94404F2A-A4AD-48BE-BFF4-A4EED57FED42}"/>
    <cellStyle name="40% - Accent4 2 3 3" xfId="1108" xr:uid="{3554D583-A258-4A36-9FB3-BF5BFC1B5458}"/>
    <cellStyle name="40% - Accent4 2 4" xfId="651" xr:uid="{00000000-0005-0000-0000-000098000000}"/>
    <cellStyle name="40% - Accent4 2 4 2" xfId="1521" xr:uid="{0515C453-9B4F-4153-84E0-D35C356CDFD5}"/>
    <cellStyle name="40% - Accent4 2 5" xfId="1105" xr:uid="{593AF5E1-4D88-4399-97A9-DDB301F4F383}"/>
    <cellStyle name="40% - Accent4 3" xfId="78" xr:uid="{00000000-0005-0000-0000-000099000000}"/>
    <cellStyle name="40% - Accent4 3 2" xfId="79" xr:uid="{00000000-0005-0000-0000-00009A000000}"/>
    <cellStyle name="40% - Accent4 3 2 2" xfId="656" xr:uid="{00000000-0005-0000-0000-00009B000000}"/>
    <cellStyle name="40% - Accent4 3 2 2 2" xfId="1526" xr:uid="{E63DE1D7-26D4-49E6-9F1A-020BC2B7941A}"/>
    <cellStyle name="40% - Accent4 3 2 3" xfId="1110" xr:uid="{2EE822DC-B253-479D-BE93-790B4CBFF4F9}"/>
    <cellStyle name="40% - Accent4 3 3" xfId="655" xr:uid="{00000000-0005-0000-0000-00009C000000}"/>
    <cellStyle name="40% - Accent4 3 3 2" xfId="1525" xr:uid="{DAE55062-2469-4B18-ABD0-7C4F4747B3AE}"/>
    <cellStyle name="40% - Accent4 3 4" xfId="1109" xr:uid="{FF9562B4-32CD-4C36-A79D-5137443622C0}"/>
    <cellStyle name="40% - Accent4 4" xfId="80" xr:uid="{00000000-0005-0000-0000-00009D000000}"/>
    <cellStyle name="40% - Accent4 4 2" xfId="657" xr:uid="{00000000-0005-0000-0000-00009E000000}"/>
    <cellStyle name="40% - Accent4 4 2 2" xfId="1527" xr:uid="{0B33532B-4672-47CA-AA24-E05C61013BB5}"/>
    <cellStyle name="40% - Accent4 4 3" xfId="1111" xr:uid="{26F6D057-6DB8-43B1-80D6-791261FEFB49}"/>
    <cellStyle name="40% - Accent4 5" xfId="650" xr:uid="{00000000-0005-0000-0000-00009F000000}"/>
    <cellStyle name="40% - Accent4 5 2" xfId="1520" xr:uid="{3D0AEFA6-4529-4555-AFB2-6A22709E7D84}"/>
    <cellStyle name="40% - Accent4 6" xfId="1104" xr:uid="{5306BB82-EBEC-475A-BD01-370A943019E5}"/>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3E699AEF-3EA6-47FC-9225-DA9AAD1ADCE5}"/>
    <cellStyle name="40% - Accent5 2 2 2 3" xfId="1115" xr:uid="{DF86F0B4-5BB0-4CDA-AB48-F624ABA79334}"/>
    <cellStyle name="40% - Accent5 2 2 3" xfId="660" xr:uid="{00000000-0005-0000-0000-0000A5000000}"/>
    <cellStyle name="40% - Accent5 2 2 3 2" xfId="1530" xr:uid="{9961AB3B-7986-4138-9014-58584666BBB7}"/>
    <cellStyle name="40% - Accent5 2 2 4" xfId="1114" xr:uid="{E74DF848-DEAC-4A0E-A438-6200C85CF3A7}"/>
    <cellStyle name="40% - Accent5 2 3" xfId="85" xr:uid="{00000000-0005-0000-0000-0000A6000000}"/>
    <cellStyle name="40% - Accent5 2 3 2" xfId="662" xr:uid="{00000000-0005-0000-0000-0000A7000000}"/>
    <cellStyle name="40% - Accent5 2 3 2 2" xfId="1532" xr:uid="{CBE9A283-7B20-4F7D-9752-F5C6B0E5AA84}"/>
    <cellStyle name="40% - Accent5 2 3 3" xfId="1116" xr:uid="{0002DB1E-98C5-413C-B49D-297DFF20CA06}"/>
    <cellStyle name="40% - Accent5 2 4" xfId="659" xr:uid="{00000000-0005-0000-0000-0000A8000000}"/>
    <cellStyle name="40% - Accent5 2 4 2" xfId="1529" xr:uid="{3D284F2C-FAD6-4689-B447-C0C0E38ED1A7}"/>
    <cellStyle name="40% - Accent5 2 5" xfId="1113" xr:uid="{BB8A6B7C-BD45-4A26-B204-4784CFA38C8E}"/>
    <cellStyle name="40% - Accent5 3" xfId="86" xr:uid="{00000000-0005-0000-0000-0000A9000000}"/>
    <cellStyle name="40% - Accent5 3 2" xfId="87" xr:uid="{00000000-0005-0000-0000-0000AA000000}"/>
    <cellStyle name="40% - Accent5 3 2 2" xfId="664" xr:uid="{00000000-0005-0000-0000-0000AB000000}"/>
    <cellStyle name="40% - Accent5 3 2 2 2" xfId="1534" xr:uid="{9E988AEE-DF3F-4FC0-B5BC-1FAB3256B927}"/>
    <cellStyle name="40% - Accent5 3 2 3" xfId="1118" xr:uid="{7A2F13B8-769B-49A3-AF89-D0768C71693D}"/>
    <cellStyle name="40% - Accent5 3 3" xfId="663" xr:uid="{00000000-0005-0000-0000-0000AC000000}"/>
    <cellStyle name="40% - Accent5 3 3 2" xfId="1533" xr:uid="{8E330019-0849-48FA-97BD-62949A0026DF}"/>
    <cellStyle name="40% - Accent5 3 4" xfId="1117" xr:uid="{2CB53DBB-365A-4157-80F8-5305D4246A76}"/>
    <cellStyle name="40% - Accent5 4" xfId="88" xr:uid="{00000000-0005-0000-0000-0000AD000000}"/>
    <cellStyle name="40% - Accent5 4 2" xfId="665" xr:uid="{00000000-0005-0000-0000-0000AE000000}"/>
    <cellStyle name="40% - Accent5 4 2 2" xfId="1535" xr:uid="{4234742D-9695-4E98-B047-F3C7F9A5D81A}"/>
    <cellStyle name="40% - Accent5 4 3" xfId="1119" xr:uid="{1CE72355-8BC2-43A0-93A5-147BDD271D3F}"/>
    <cellStyle name="40% - Accent5 5" xfId="658" xr:uid="{00000000-0005-0000-0000-0000AF000000}"/>
    <cellStyle name="40% - Accent5 5 2" xfId="1528" xr:uid="{5F6AF460-E819-44AA-ACBE-02484B78140C}"/>
    <cellStyle name="40% - Accent5 6" xfId="1112" xr:uid="{9897D8E5-FADF-422C-ACA9-6E30251776F9}"/>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E0BCF224-3F1C-4A92-A5A3-D769322DB527}"/>
    <cellStyle name="40% - Accent6 2 2 2 3" xfId="1123" xr:uid="{CCD30643-8F41-4B4A-A17A-9142A4A41A9E}"/>
    <cellStyle name="40% - Accent6 2 2 3" xfId="668" xr:uid="{00000000-0005-0000-0000-0000B5000000}"/>
    <cellStyle name="40% - Accent6 2 2 3 2" xfId="1538" xr:uid="{D6F1E501-9125-42E0-AF40-0F4C1CC0B6D9}"/>
    <cellStyle name="40% - Accent6 2 2 4" xfId="1122" xr:uid="{57F17ADF-6473-442E-99F4-8CBCF9EA8A3A}"/>
    <cellStyle name="40% - Accent6 2 3" xfId="93" xr:uid="{00000000-0005-0000-0000-0000B6000000}"/>
    <cellStyle name="40% - Accent6 2 3 2" xfId="670" xr:uid="{00000000-0005-0000-0000-0000B7000000}"/>
    <cellStyle name="40% - Accent6 2 3 2 2" xfId="1540" xr:uid="{ACC5F183-1A6D-4CB6-A78C-5FE6A108119D}"/>
    <cellStyle name="40% - Accent6 2 3 3" xfId="1124" xr:uid="{78CA4BF9-375E-478D-8C20-1860E4D1E6DB}"/>
    <cellStyle name="40% - Accent6 2 4" xfId="667" xr:uid="{00000000-0005-0000-0000-0000B8000000}"/>
    <cellStyle name="40% - Accent6 2 4 2" xfId="1537" xr:uid="{8FEDF5AB-06ED-4A6C-A4E5-A7C9D4968130}"/>
    <cellStyle name="40% - Accent6 2 5" xfId="1121" xr:uid="{3A7DC335-8E70-40CE-B0A2-A591832731BD}"/>
    <cellStyle name="40% - Accent6 3" xfId="94" xr:uid="{00000000-0005-0000-0000-0000B9000000}"/>
    <cellStyle name="40% - Accent6 3 2" xfId="95" xr:uid="{00000000-0005-0000-0000-0000BA000000}"/>
    <cellStyle name="40% - Accent6 3 2 2" xfId="672" xr:uid="{00000000-0005-0000-0000-0000BB000000}"/>
    <cellStyle name="40% - Accent6 3 2 2 2" xfId="1542" xr:uid="{313E4A45-C4BA-4570-A166-64FE1B90E744}"/>
    <cellStyle name="40% - Accent6 3 2 3" xfId="1126" xr:uid="{E50894C7-2A4D-46C2-856D-F182E92D031C}"/>
    <cellStyle name="40% - Accent6 3 3" xfId="671" xr:uid="{00000000-0005-0000-0000-0000BC000000}"/>
    <cellStyle name="40% - Accent6 3 3 2" xfId="1541" xr:uid="{64ED30ED-743F-4991-8F1A-07C72B9BF1E9}"/>
    <cellStyle name="40% - Accent6 3 4" xfId="1125" xr:uid="{69DDA81C-EE64-4C2A-B08A-9AB13662F0DE}"/>
    <cellStyle name="40% - Accent6 4" xfId="96" xr:uid="{00000000-0005-0000-0000-0000BD000000}"/>
    <cellStyle name="40% - Accent6 4 2" xfId="673" xr:uid="{00000000-0005-0000-0000-0000BE000000}"/>
    <cellStyle name="40% - Accent6 4 2 2" xfId="1543" xr:uid="{FBD51EB0-5185-420E-B182-EA8B25D34ED9}"/>
    <cellStyle name="40% - Accent6 4 3" xfId="1127" xr:uid="{8BB29D08-96CC-49AC-BF65-A861C926D027}"/>
    <cellStyle name="40% - Accent6 5" xfId="666" xr:uid="{00000000-0005-0000-0000-0000BF000000}"/>
    <cellStyle name="40% - Accent6 5 2" xfId="1536" xr:uid="{65CA220A-5B66-4292-BB26-2C425766F053}"/>
    <cellStyle name="40% - Accent6 6" xfId="1120" xr:uid="{86B93762-9BD9-4D5C-A16E-CB32ED079D16}"/>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EC71199B-D86B-4EC6-806A-406B5AB10FB4}"/>
    <cellStyle name="Comma 4 2 2 2 2 2 3" xfId="1130" xr:uid="{913C3BA6-C6C1-4001-9E18-73C96589F5F2}"/>
    <cellStyle name="Comma 4 2 2 2 2 3" xfId="675" xr:uid="{00000000-0005-0000-0000-0000E3000000}"/>
    <cellStyle name="Comma 4 2 2 2 2 3 2" xfId="1545" xr:uid="{BEB23D73-DC3A-4C0E-899F-C90F55080D50}"/>
    <cellStyle name="Comma 4 2 2 2 2 4" xfId="1129" xr:uid="{F246874C-82F6-4256-87B3-24267FC8532E}"/>
    <cellStyle name="Comma 4 2 2 2 3" xfId="131" xr:uid="{00000000-0005-0000-0000-0000E4000000}"/>
    <cellStyle name="Comma 4 2 2 2 3 2" xfId="677" xr:uid="{00000000-0005-0000-0000-0000E5000000}"/>
    <cellStyle name="Comma 4 2 2 2 3 2 2" xfId="1547" xr:uid="{FCA61AF1-E5DE-4574-8F5F-6CC6343896A9}"/>
    <cellStyle name="Comma 4 2 2 2 3 3" xfId="1131" xr:uid="{383587A8-EF3F-4766-A2B6-851DBDC7D9E6}"/>
    <cellStyle name="Comma 4 2 2 2 4" xfId="674" xr:uid="{00000000-0005-0000-0000-0000E6000000}"/>
    <cellStyle name="Comma 4 2 2 2 4 2" xfId="1544" xr:uid="{10126F3C-7A79-4EFA-A1F1-2A699B9CD676}"/>
    <cellStyle name="Comma 4 2 2 2 5" xfId="1128" xr:uid="{0D800C3A-FB6F-4EE1-BC0A-507E2BD9C637}"/>
    <cellStyle name="Comma 4 2 2 3" xfId="132" xr:uid="{00000000-0005-0000-0000-0000E7000000}"/>
    <cellStyle name="Comma 4 2 2 3 2" xfId="133" xr:uid="{00000000-0005-0000-0000-0000E8000000}"/>
    <cellStyle name="Comma 4 2 2 3 2 2" xfId="679" xr:uid="{00000000-0005-0000-0000-0000E9000000}"/>
    <cellStyle name="Comma 4 2 2 3 2 2 2" xfId="1549" xr:uid="{72C7D7E0-E7F3-4D12-B984-92826BE83F0A}"/>
    <cellStyle name="Comma 4 2 2 3 2 3" xfId="1133" xr:uid="{1D60D3E5-47E4-4CEA-B40D-9D5E6B93DC7E}"/>
    <cellStyle name="Comma 4 2 2 3 3" xfId="678" xr:uid="{00000000-0005-0000-0000-0000EA000000}"/>
    <cellStyle name="Comma 4 2 2 3 3 2" xfId="1548" xr:uid="{3CA32734-A0CF-4D49-B797-887988D5500C}"/>
    <cellStyle name="Comma 4 2 2 3 4" xfId="1132" xr:uid="{F8B34F19-F999-4C59-9283-4E8BD9E6FD85}"/>
    <cellStyle name="Comma 4 2 2 4" xfId="134" xr:uid="{00000000-0005-0000-0000-0000EB000000}"/>
    <cellStyle name="Comma 4 2 2 4 2" xfId="680" xr:uid="{00000000-0005-0000-0000-0000EC000000}"/>
    <cellStyle name="Comma 4 2 2 4 2 2" xfId="1550" xr:uid="{139E5BE6-6A18-4691-981D-9E986514ED7E}"/>
    <cellStyle name="Comma 4 2 2 4 3" xfId="1134" xr:uid="{6FEF1D6B-3641-4E53-91C3-6954A4052E27}"/>
    <cellStyle name="Comma 4 2 2 5" xfId="135" xr:uid="{00000000-0005-0000-0000-0000ED000000}"/>
    <cellStyle name="Comma 4 2 2 5 2" xfId="681" xr:uid="{00000000-0005-0000-0000-0000EE000000}"/>
    <cellStyle name="Comma 4 2 2 5 2 2" xfId="1551" xr:uid="{ED242048-79E6-45C4-9617-C78AD24525B9}"/>
    <cellStyle name="Comma 4 2 2 5 3" xfId="1135" xr:uid="{2257F8A0-94BF-4B01-A7F5-7F810EE1DD64}"/>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EE5017FC-F856-43C0-BA21-0CBFAEAF59C3}"/>
    <cellStyle name="Comma 4 2 3 2 2 3" xfId="1138" xr:uid="{FC641FAE-D11D-44B3-94BF-ED10D9D5A4D0}"/>
    <cellStyle name="Comma 4 2 3 2 3" xfId="683" xr:uid="{00000000-0005-0000-0000-0000F3000000}"/>
    <cellStyle name="Comma 4 2 3 2 3 2" xfId="1553" xr:uid="{5A76BAF6-F56C-4205-B8EF-F994F0FDBD74}"/>
    <cellStyle name="Comma 4 2 3 2 4" xfId="1137" xr:uid="{3A522F61-186E-42A4-AAE7-F6EAE9274EA6}"/>
    <cellStyle name="Comma 4 2 3 3" xfId="139" xr:uid="{00000000-0005-0000-0000-0000F4000000}"/>
    <cellStyle name="Comma 4 2 3 3 2" xfId="685" xr:uid="{00000000-0005-0000-0000-0000F5000000}"/>
    <cellStyle name="Comma 4 2 3 3 2 2" xfId="1555" xr:uid="{40310506-1417-4471-BB46-19941C49C201}"/>
    <cellStyle name="Comma 4 2 3 3 3" xfId="1139" xr:uid="{8CF0A296-3D6F-4F52-8E7D-5F3391AAAD65}"/>
    <cellStyle name="Comma 4 2 3 4" xfId="682" xr:uid="{00000000-0005-0000-0000-0000F6000000}"/>
    <cellStyle name="Comma 4 2 3 4 2" xfId="1552" xr:uid="{48ABF86E-1D17-41C1-A145-292DD67EF6B6}"/>
    <cellStyle name="Comma 4 2 3 5" xfId="1136" xr:uid="{940B3DD7-07F8-471B-813A-B73F39E7A38E}"/>
    <cellStyle name="Comma 4 2 4" xfId="140" xr:uid="{00000000-0005-0000-0000-0000F7000000}"/>
    <cellStyle name="Comma 4 2 4 2" xfId="141" xr:uid="{00000000-0005-0000-0000-0000F8000000}"/>
    <cellStyle name="Comma 4 2 4 2 2" xfId="687" xr:uid="{00000000-0005-0000-0000-0000F9000000}"/>
    <cellStyle name="Comma 4 2 4 2 2 2" xfId="1557" xr:uid="{4A22EE7F-4FBF-482E-BD9F-68EC033DE623}"/>
    <cellStyle name="Comma 4 2 4 2 3" xfId="1141" xr:uid="{23C0115F-F13E-4836-A996-3B6FF1169FDC}"/>
    <cellStyle name="Comma 4 2 4 3" xfId="686" xr:uid="{00000000-0005-0000-0000-0000FA000000}"/>
    <cellStyle name="Comma 4 2 4 3 2" xfId="1556" xr:uid="{1D919207-CA2B-480C-A8FF-E0B872040F27}"/>
    <cellStyle name="Comma 4 2 4 4" xfId="1140" xr:uid="{936BFC88-009F-4BA5-9844-9E5D3C1EFAA5}"/>
    <cellStyle name="Comma 4 2 5" xfId="142" xr:uid="{00000000-0005-0000-0000-0000FB000000}"/>
    <cellStyle name="Comma 4 2 5 2" xfId="688" xr:uid="{00000000-0005-0000-0000-0000FC000000}"/>
    <cellStyle name="Comma 4 2 5 2 2" xfId="1558" xr:uid="{6D180EE1-ADD1-4A60-83AA-4197B188C02F}"/>
    <cellStyle name="Comma 4 2 5 3" xfId="1142" xr:uid="{02EF8A8F-A635-4074-956F-BC8A42A2A691}"/>
    <cellStyle name="Comma 4 2 6" xfId="143" xr:uid="{00000000-0005-0000-0000-0000FD000000}"/>
    <cellStyle name="Comma 4 2 6 2" xfId="689" xr:uid="{00000000-0005-0000-0000-0000FE000000}"/>
    <cellStyle name="Comma 4 2 6 2 2" xfId="1559" xr:uid="{35862F74-0624-410B-9B3A-816238F0D86F}"/>
    <cellStyle name="Comma 4 2 6 3" xfId="1143" xr:uid="{5F465E5E-F149-4BC2-8A28-F2F8F2C876F4}"/>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A4FD6FE8-BE83-4F2F-925D-B866188749BC}"/>
    <cellStyle name="Comma 4 3 2 2 2 3" xfId="1146" xr:uid="{BD5AF8A7-3B89-4D23-8AFA-D488A63DB966}"/>
    <cellStyle name="Comma 4 3 2 2 3" xfId="691" xr:uid="{00000000-0005-0000-0000-000004010000}"/>
    <cellStyle name="Comma 4 3 2 2 3 2" xfId="1561" xr:uid="{D18A7886-F5FF-497B-944F-4FDD7D345E55}"/>
    <cellStyle name="Comma 4 3 2 2 4" xfId="1145" xr:uid="{AD6C3B63-0743-4BCF-A9FF-350ED38F1D92}"/>
    <cellStyle name="Comma 4 3 2 3" xfId="148" xr:uid="{00000000-0005-0000-0000-000005010000}"/>
    <cellStyle name="Comma 4 3 2 3 2" xfId="693" xr:uid="{00000000-0005-0000-0000-000006010000}"/>
    <cellStyle name="Comma 4 3 2 3 2 2" xfId="1563" xr:uid="{230D16C8-8C10-446E-9162-AC1EE93E9A36}"/>
    <cellStyle name="Comma 4 3 2 3 3" xfId="1147" xr:uid="{42DBB286-0656-456B-A148-0421F8AF18B4}"/>
    <cellStyle name="Comma 4 3 2 4" xfId="690" xr:uid="{00000000-0005-0000-0000-000007010000}"/>
    <cellStyle name="Comma 4 3 2 4 2" xfId="1560" xr:uid="{B6E98900-5F47-442E-A67A-25A7DA5C60C5}"/>
    <cellStyle name="Comma 4 3 2 5" xfId="1144" xr:uid="{DC4C4177-7F98-4A2E-8ECB-4DE1CEC3E3B9}"/>
    <cellStyle name="Comma 4 3 3" xfId="149" xr:uid="{00000000-0005-0000-0000-000008010000}"/>
    <cellStyle name="Comma 4 3 3 2" xfId="150" xr:uid="{00000000-0005-0000-0000-000009010000}"/>
    <cellStyle name="Comma 4 3 3 2 2" xfId="695" xr:uid="{00000000-0005-0000-0000-00000A010000}"/>
    <cellStyle name="Comma 4 3 3 2 2 2" xfId="1565" xr:uid="{3BE4540E-F6FE-4007-AAF0-00E73E75DBAC}"/>
    <cellStyle name="Comma 4 3 3 2 3" xfId="1149" xr:uid="{81404CEE-4D4C-406E-B65C-E805E7F693AB}"/>
    <cellStyle name="Comma 4 3 3 3" xfId="694" xr:uid="{00000000-0005-0000-0000-00000B010000}"/>
    <cellStyle name="Comma 4 3 3 3 2" xfId="1564" xr:uid="{5DC4D9FC-1585-4E3B-9C5D-C923B40B2B12}"/>
    <cellStyle name="Comma 4 3 3 4" xfId="1148" xr:uid="{F3FD1282-492D-4E7A-9565-169E6994CD49}"/>
    <cellStyle name="Comma 4 3 4" xfId="151" xr:uid="{00000000-0005-0000-0000-00000C010000}"/>
    <cellStyle name="Comma 4 3 4 2" xfId="696" xr:uid="{00000000-0005-0000-0000-00000D010000}"/>
    <cellStyle name="Comma 4 3 4 2 2" xfId="1566" xr:uid="{5993A211-9545-4529-B3CB-DA852C7C1471}"/>
    <cellStyle name="Comma 4 3 4 3" xfId="1150" xr:uid="{B4F7CA7F-B9F6-4480-A679-326A2B6AEAC3}"/>
    <cellStyle name="Comma 4 3 5" xfId="152" xr:uid="{00000000-0005-0000-0000-00000E010000}"/>
    <cellStyle name="Comma 4 3 5 2" xfId="697" xr:uid="{00000000-0005-0000-0000-00000F010000}"/>
    <cellStyle name="Comma 4 3 5 2 2" xfId="1567" xr:uid="{8CAD9E0F-7F7F-49E3-8A67-9F50654E39EE}"/>
    <cellStyle name="Comma 4 3 5 3" xfId="1151" xr:uid="{BE63536E-E4A7-4488-A26C-A55FDC4F738E}"/>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D3204C23-C699-448C-9719-CCC68FDEF1E5}"/>
    <cellStyle name="Comma 4 4 2 2 3" xfId="1154" xr:uid="{B53CB12C-1400-43DD-AFA4-8CA4DB1031D6}"/>
    <cellStyle name="Comma 4 4 2 3" xfId="699" xr:uid="{00000000-0005-0000-0000-000014010000}"/>
    <cellStyle name="Comma 4 4 2 3 2" xfId="1569" xr:uid="{589E6181-92C4-49A5-988B-14F5C183E6CE}"/>
    <cellStyle name="Comma 4 4 2 4" xfId="1153" xr:uid="{3CE583BD-906E-4623-B225-BB37FCD4CDC7}"/>
    <cellStyle name="Comma 4 4 3" xfId="156" xr:uid="{00000000-0005-0000-0000-000015010000}"/>
    <cellStyle name="Comma 4 4 3 2" xfId="701" xr:uid="{00000000-0005-0000-0000-000016010000}"/>
    <cellStyle name="Comma 4 4 3 2 2" xfId="1571" xr:uid="{54ACEB52-8CFD-4E27-A8B8-69D1C8AB73FA}"/>
    <cellStyle name="Comma 4 4 3 3" xfId="1155" xr:uid="{A4706FD5-70B2-4ED0-B575-F9CF0D9C6A63}"/>
    <cellStyle name="Comma 4 4 4" xfId="698" xr:uid="{00000000-0005-0000-0000-000017010000}"/>
    <cellStyle name="Comma 4 4 4 2" xfId="1568" xr:uid="{037B1808-0AA5-4A0A-BA98-E33D9838AF69}"/>
    <cellStyle name="Comma 4 4 5" xfId="1152" xr:uid="{4C8D70DF-EC25-48E4-980D-732988B41648}"/>
    <cellStyle name="Comma 4 5" xfId="157" xr:uid="{00000000-0005-0000-0000-000018010000}"/>
    <cellStyle name="Comma 4 5 2" xfId="158" xr:uid="{00000000-0005-0000-0000-000019010000}"/>
    <cellStyle name="Comma 4 5 2 2" xfId="703" xr:uid="{00000000-0005-0000-0000-00001A010000}"/>
    <cellStyle name="Comma 4 5 2 2 2" xfId="1573" xr:uid="{41B4794B-B298-4A54-840A-6996D1E2001F}"/>
    <cellStyle name="Comma 4 5 2 3" xfId="1157" xr:uid="{DA6C68A0-11FA-4221-A9DB-FE4061BAD7E3}"/>
    <cellStyle name="Comma 4 5 3" xfId="702" xr:uid="{00000000-0005-0000-0000-00001B010000}"/>
    <cellStyle name="Comma 4 5 3 2" xfId="1572" xr:uid="{CF09DDDF-10D2-4282-A890-BB5D30938171}"/>
    <cellStyle name="Comma 4 5 4" xfId="1156" xr:uid="{E354E0CA-D1D1-4913-B0C1-AB7F1DF12F35}"/>
    <cellStyle name="Comma 4 6" xfId="159" xr:uid="{00000000-0005-0000-0000-00001C010000}"/>
    <cellStyle name="Comma 4 6 2" xfId="704" xr:uid="{00000000-0005-0000-0000-00001D010000}"/>
    <cellStyle name="Comma 4 6 2 2" xfId="1574" xr:uid="{2E75AB55-2A25-4C12-8116-88E5ED3780C1}"/>
    <cellStyle name="Comma 4 6 3" xfId="1158" xr:uid="{368FBD7C-7E71-4E28-84E8-02E306761E7C}"/>
    <cellStyle name="Comma 4 7" xfId="160" xr:uid="{00000000-0005-0000-0000-00001E010000}"/>
    <cellStyle name="Comma 4 7 2" xfId="705" xr:uid="{00000000-0005-0000-0000-00001F010000}"/>
    <cellStyle name="Comma 4 7 2 2" xfId="1575" xr:uid="{5C237A91-D4FA-4B4B-81D9-A8CAC5FD2C18}"/>
    <cellStyle name="Comma 4 7 3" xfId="1159" xr:uid="{81A6844F-E7D5-4228-9F95-4A8622FA846C}"/>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9674C541-1027-454F-A3C5-930AB3FA6FAE}"/>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5CCF135C-87D8-4C93-A180-ABA48D209577}"/>
    <cellStyle name="Currency 3 2 2 2 2 3" xfId="1162" xr:uid="{84050E04-5252-49FE-AA8C-FDDE5DE8CD12}"/>
    <cellStyle name="Currency 3 2 2 2 3" xfId="716" xr:uid="{00000000-0005-0000-0000-000040010000}"/>
    <cellStyle name="Currency 3 2 2 2 3 2" xfId="1577" xr:uid="{8667BC24-4A60-48FB-B2E5-99258E19B3C3}"/>
    <cellStyle name="Currency 3 2 2 2 4" xfId="1161" xr:uid="{82DB92EE-0438-4028-BD47-36A09B431E1C}"/>
    <cellStyle name="Currency 3 2 2 3" xfId="182" xr:uid="{00000000-0005-0000-0000-000041010000}"/>
    <cellStyle name="Currency 3 2 2 3 2" xfId="718" xr:uid="{00000000-0005-0000-0000-000042010000}"/>
    <cellStyle name="Currency 3 2 2 3 2 2" xfId="1579" xr:uid="{DD8E9BEA-821E-49A7-BCD6-2B04DE21AFC0}"/>
    <cellStyle name="Currency 3 2 2 3 3" xfId="1163" xr:uid="{1BA8223F-5DF0-42DD-9BF1-D436B315EAC4}"/>
    <cellStyle name="Currency 3 2 2 4" xfId="715" xr:uid="{00000000-0005-0000-0000-000043010000}"/>
    <cellStyle name="Currency 3 2 2 4 2" xfId="1576" xr:uid="{E28AA8D4-07E0-4C18-8DCA-A5968EC56EC9}"/>
    <cellStyle name="Currency 3 2 2 5" xfId="1160" xr:uid="{1EA7417B-F974-4E64-B851-47801A607546}"/>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01199CE1-119A-41B3-92EF-7569FC5CA7EE}"/>
    <cellStyle name="Currency 3 2 3 2 3" xfId="1165" xr:uid="{4248B0D6-6004-4C10-8C22-209D3C8765CA}"/>
    <cellStyle name="Currency 3 2 3 3" xfId="719" xr:uid="{00000000-0005-0000-0000-000047010000}"/>
    <cellStyle name="Currency 3 2 3 3 2" xfId="1580" xr:uid="{52968E81-341E-49F0-B56C-B7DE1825290D}"/>
    <cellStyle name="Currency 3 2 3 4" xfId="1164" xr:uid="{FC987055-924A-4BAD-864C-D89E40E0A3DB}"/>
    <cellStyle name="Currency 3 2 4" xfId="185" xr:uid="{00000000-0005-0000-0000-000048010000}"/>
    <cellStyle name="Currency 3 2 4 2" xfId="721" xr:uid="{00000000-0005-0000-0000-000049010000}"/>
    <cellStyle name="Currency 3 2 4 2 2" xfId="1582" xr:uid="{8ABF70C0-C032-4070-828B-934E10255F48}"/>
    <cellStyle name="Currency 3 2 4 3" xfId="1166" xr:uid="{275A7457-29F7-404A-BDCB-D5F0D16959D4}"/>
    <cellStyle name="Currency 3 2 5" xfId="186" xr:uid="{00000000-0005-0000-0000-00004A010000}"/>
    <cellStyle name="Currency 3 2 5 2" xfId="722" xr:uid="{00000000-0005-0000-0000-00004B010000}"/>
    <cellStyle name="Currency 3 2 5 2 2" xfId="1583" xr:uid="{42EAD3EB-3663-42BA-BAB7-411D99C23CBB}"/>
    <cellStyle name="Currency 3 2 5 3" xfId="1167" xr:uid="{BD32FEE1-8349-40EB-8E2A-BD9EEA8FA11A}"/>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A98D894F-8BDF-420C-BAAE-0CD69504B6D9}"/>
    <cellStyle name="Currency 5 2 2 2 2 2 3" xfId="1170" xr:uid="{D33765DE-0D32-4C7F-A8FB-DB9C6A67A42F}"/>
    <cellStyle name="Currency 5 2 2 2 2 3" xfId="731" xr:uid="{00000000-0005-0000-0000-00005F010000}"/>
    <cellStyle name="Currency 5 2 2 2 2 3 2" xfId="1585" xr:uid="{9E9D1999-1D72-4FFC-B688-080ADBC6E9F4}"/>
    <cellStyle name="Currency 5 2 2 2 2 4" xfId="1169" xr:uid="{65ACB1E8-21D4-4B07-840F-02D962922545}"/>
    <cellStyle name="Currency 5 2 2 2 3" xfId="200" xr:uid="{00000000-0005-0000-0000-000060010000}"/>
    <cellStyle name="Currency 5 2 2 2 3 2" xfId="733" xr:uid="{00000000-0005-0000-0000-000061010000}"/>
    <cellStyle name="Currency 5 2 2 2 3 2 2" xfId="1587" xr:uid="{A282F9D7-BCAA-4B1F-B78F-B4DDE8E80AA6}"/>
    <cellStyle name="Currency 5 2 2 2 3 3" xfId="1171" xr:uid="{12FE0E74-D857-41FA-8B7F-26A815B20CC0}"/>
    <cellStyle name="Currency 5 2 2 2 4" xfId="730" xr:uid="{00000000-0005-0000-0000-000062010000}"/>
    <cellStyle name="Currency 5 2 2 2 4 2" xfId="1584" xr:uid="{D5DD4965-CE10-488D-94D0-885155A6FC55}"/>
    <cellStyle name="Currency 5 2 2 2 5" xfId="1168" xr:uid="{B57A66D5-3A59-4C6C-90C6-A67C76C39097}"/>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EE815A4E-551E-4CBF-88AC-5E706F40BD1F}"/>
    <cellStyle name="Currency 5 2 2 3 2 3" xfId="1173" xr:uid="{5362EBEE-E47F-42DA-A561-D9E366364EA2}"/>
    <cellStyle name="Currency 5 2 2 3 3" xfId="734" xr:uid="{00000000-0005-0000-0000-000066010000}"/>
    <cellStyle name="Currency 5 2 2 3 3 2" xfId="1588" xr:uid="{EF5DBF43-4518-4A5A-A93D-35510CC5D104}"/>
    <cellStyle name="Currency 5 2 2 3 4" xfId="1172" xr:uid="{8EC31899-B057-4700-8929-EEC83AC45872}"/>
    <cellStyle name="Currency 5 2 2 4" xfId="203" xr:uid="{00000000-0005-0000-0000-000067010000}"/>
    <cellStyle name="Currency 5 2 2 4 2" xfId="736" xr:uid="{00000000-0005-0000-0000-000068010000}"/>
    <cellStyle name="Currency 5 2 2 4 2 2" xfId="1590" xr:uid="{491D5DFF-0EB3-44E2-BB54-53F75E10C816}"/>
    <cellStyle name="Currency 5 2 2 4 3" xfId="1174" xr:uid="{50632EBF-C687-4153-BA69-9DC894F488BE}"/>
    <cellStyle name="Currency 5 2 2 5" xfId="204" xr:uid="{00000000-0005-0000-0000-000069010000}"/>
    <cellStyle name="Currency 5 2 2 5 2" xfId="737" xr:uid="{00000000-0005-0000-0000-00006A010000}"/>
    <cellStyle name="Currency 5 2 2 5 2 2" xfId="1591" xr:uid="{3426E6F6-CDEA-4148-B2BB-AF7C7F819159}"/>
    <cellStyle name="Currency 5 2 2 5 3" xfId="1175" xr:uid="{95108074-6F6E-4DAC-B3E6-978D4EF1E395}"/>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9699554B-FEA6-4179-BC71-888A5D14017D}"/>
    <cellStyle name="Currency 5 2 4 2 3" xfId="1177" xr:uid="{644B655B-7225-400A-9588-3B7B24B3E459}"/>
    <cellStyle name="Currency 5 2 4 3" xfId="739" xr:uid="{00000000-0005-0000-0000-000070010000}"/>
    <cellStyle name="Currency 5 2 4 3 2" xfId="1592" xr:uid="{6438D71E-9514-4EE4-8E03-2818EB6B1EF9}"/>
    <cellStyle name="Currency 5 2 4 4" xfId="1176" xr:uid="{8F0631A0-9E0E-474B-A266-3AEF8AB4584C}"/>
    <cellStyle name="Currency 5 2 5" xfId="208" xr:uid="{00000000-0005-0000-0000-000071010000}"/>
    <cellStyle name="Currency 5 2 5 2" xfId="741" xr:uid="{00000000-0005-0000-0000-000072010000}"/>
    <cellStyle name="Currency 5 2 5 2 2" xfId="1594" xr:uid="{AA0C406D-801D-4785-B2DC-0109D7A480E0}"/>
    <cellStyle name="Currency 5 2 5 3" xfId="1178" xr:uid="{C36A973F-D32A-4683-9429-E242EA616CBC}"/>
    <cellStyle name="Currency 5 2 6" xfId="209" xr:uid="{00000000-0005-0000-0000-000073010000}"/>
    <cellStyle name="Currency 5 2 6 2" xfId="742" xr:uid="{00000000-0005-0000-0000-000074010000}"/>
    <cellStyle name="Currency 5 2 6 2 2" xfId="1595" xr:uid="{82F08926-37AE-4D9F-8514-8EC077671F90}"/>
    <cellStyle name="Currency 5 2 6 3" xfId="1179" xr:uid="{758E42E6-4F28-41B0-A657-724C77352CDF}"/>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FADB32D0-7599-4DD4-8975-25DB127DFD82}"/>
    <cellStyle name="Currency 5 3 2 2 2 3" xfId="1182" xr:uid="{7DE809CF-17DE-468A-8C57-A09930D702A9}"/>
    <cellStyle name="Currency 5 3 2 2 3" xfId="744" xr:uid="{00000000-0005-0000-0000-00007B010000}"/>
    <cellStyle name="Currency 5 3 2 2 3 2" xfId="1597" xr:uid="{615650C0-0D1F-46EF-AE95-3AEEB0D62A55}"/>
    <cellStyle name="Currency 5 3 2 2 4" xfId="1181" xr:uid="{D99FCFBD-BB12-43B6-98DE-7B8D594996D7}"/>
    <cellStyle name="Currency 5 3 2 3" xfId="214" xr:uid="{00000000-0005-0000-0000-00007C010000}"/>
    <cellStyle name="Currency 5 3 2 3 2" xfId="746" xr:uid="{00000000-0005-0000-0000-00007D010000}"/>
    <cellStyle name="Currency 5 3 2 3 2 2" xfId="1599" xr:uid="{DE678E0B-1EB4-4DD5-8F4F-110D41BE8455}"/>
    <cellStyle name="Currency 5 3 2 3 3" xfId="1183" xr:uid="{9D8D90BD-AB5A-42A8-84F8-3A6D8CE0161B}"/>
    <cellStyle name="Currency 5 3 2 4" xfId="743" xr:uid="{00000000-0005-0000-0000-00007E010000}"/>
    <cellStyle name="Currency 5 3 2 4 2" xfId="1596" xr:uid="{47686EAC-3B9B-4FD1-90C8-4585C1ED0AD4}"/>
    <cellStyle name="Currency 5 3 2 5" xfId="1180" xr:uid="{96E1D92B-68AE-4BA6-8BDB-99E61619B923}"/>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7946E0C1-850D-4A21-AC18-C30537EF8428}"/>
    <cellStyle name="Currency 5 3 3 2 3" xfId="1185" xr:uid="{B21AFB46-F754-419F-945A-F9BC060DC310}"/>
    <cellStyle name="Currency 5 3 3 3" xfId="747" xr:uid="{00000000-0005-0000-0000-000082010000}"/>
    <cellStyle name="Currency 5 3 3 3 2" xfId="1600" xr:uid="{2B6ED100-217F-4541-8996-22D25913B2C7}"/>
    <cellStyle name="Currency 5 3 3 4" xfId="1184" xr:uid="{190C437C-17BF-4AE1-87C9-11141BE4A526}"/>
    <cellStyle name="Currency 5 3 4" xfId="217" xr:uid="{00000000-0005-0000-0000-000083010000}"/>
    <cellStyle name="Currency 5 3 4 2" xfId="749" xr:uid="{00000000-0005-0000-0000-000084010000}"/>
    <cellStyle name="Currency 5 3 4 2 2" xfId="1602" xr:uid="{762E91BF-F720-4588-8CFA-74D6F496FC8D}"/>
    <cellStyle name="Currency 5 3 4 3" xfId="1186" xr:uid="{54D611BF-56CA-4C1B-9669-ABE6F87D57B0}"/>
    <cellStyle name="Currency 5 3 5" xfId="218" xr:uid="{00000000-0005-0000-0000-000085010000}"/>
    <cellStyle name="Currency 5 3 5 2" xfId="750" xr:uid="{00000000-0005-0000-0000-000086010000}"/>
    <cellStyle name="Currency 5 3 5 2 2" xfId="1603" xr:uid="{0636E320-53E0-4D81-AE62-E3DF45189288}"/>
    <cellStyle name="Currency 5 3 5 3" xfId="1187" xr:uid="{7C2E0337-4D65-48DF-8120-AC98E1263292}"/>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F1EF2433-611B-40F8-83EE-9EAE8BB15923}"/>
    <cellStyle name="Currency 5 5 2 3" xfId="1189" xr:uid="{55E47060-F10C-4E4E-A01B-0E3CD56535BB}"/>
    <cellStyle name="Currency 5 5 3" xfId="752" xr:uid="{00000000-0005-0000-0000-00008C010000}"/>
    <cellStyle name="Currency 5 5 3 2" xfId="1604" xr:uid="{CB36D1F1-B112-42D0-A881-44DB8776CA48}"/>
    <cellStyle name="Currency 5 5 4" xfId="1188" xr:uid="{D1DE3180-03F5-4016-892D-70CB8E6201AE}"/>
    <cellStyle name="Currency 5 6" xfId="222" xr:uid="{00000000-0005-0000-0000-00008D010000}"/>
    <cellStyle name="Currency 5 6 2" xfId="754" xr:uid="{00000000-0005-0000-0000-00008E010000}"/>
    <cellStyle name="Currency 5 6 2 2" xfId="1606" xr:uid="{340DB6AA-A61D-49A4-B5B8-071D09825D9A}"/>
    <cellStyle name="Currency 5 6 3" xfId="1190" xr:uid="{ABC3F00C-8C9C-4CC1-A56F-8650891ECF2F}"/>
    <cellStyle name="Currency 5 7" xfId="223" xr:uid="{00000000-0005-0000-0000-00008F010000}"/>
    <cellStyle name="Currency 5 7 2" xfId="755" xr:uid="{00000000-0005-0000-0000-000090010000}"/>
    <cellStyle name="Currency 5 7 2 2" xfId="1607" xr:uid="{D07B7A7C-3E7C-411E-8662-BF7F28EC3F97}"/>
    <cellStyle name="Currency 5 7 3" xfId="1191" xr:uid="{4C7D5271-0748-48ED-B9C5-1D615D7F48C5}"/>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89CC283C-11FD-4954-B4F9-5FBC537C9A71}"/>
    <cellStyle name="Normal 12 2 2 2 3" xfId="1195" xr:uid="{BF7BE63A-CF9E-43AF-BFE7-F50539FAD5AE}"/>
    <cellStyle name="Normal 12 2 2 3" xfId="770" xr:uid="{00000000-0005-0000-0000-0000C9010000}"/>
    <cellStyle name="Normal 12 2 2 3 2" xfId="1610" xr:uid="{A22889A6-9F9F-49AC-90AC-A284E88616F5}"/>
    <cellStyle name="Normal 12 2 2 4" xfId="1194" xr:uid="{DF9A63CD-8EB7-4F1E-B301-D9493CB5754F}"/>
    <cellStyle name="Normal 12 2 3" xfId="265" xr:uid="{00000000-0005-0000-0000-0000CA010000}"/>
    <cellStyle name="Normal 12 2 3 2" xfId="772" xr:uid="{00000000-0005-0000-0000-0000CB010000}"/>
    <cellStyle name="Normal 12 2 3 2 2" xfId="1612" xr:uid="{6E8C138F-55A2-4102-AB35-806C6A606B9E}"/>
    <cellStyle name="Normal 12 2 3 3" xfId="1196" xr:uid="{B1D8767F-B10C-4A6B-8CA3-FA206A1B2A97}"/>
    <cellStyle name="Normal 12 2 4" xfId="769" xr:uid="{00000000-0005-0000-0000-0000CC010000}"/>
    <cellStyle name="Normal 12 2 4 2" xfId="1609" xr:uid="{3611FD39-38C6-4BB2-BD6E-6398A70896C8}"/>
    <cellStyle name="Normal 12 2 5" xfId="1193" xr:uid="{03C6A6F5-0289-48F8-ABF9-B333D1FF435D}"/>
    <cellStyle name="Normal 12 3" xfId="266" xr:uid="{00000000-0005-0000-0000-0000CD010000}"/>
    <cellStyle name="Normal 12 3 2" xfId="267" xr:uid="{00000000-0005-0000-0000-0000CE010000}"/>
    <cellStyle name="Normal 12 3 2 2" xfId="774" xr:uid="{00000000-0005-0000-0000-0000CF010000}"/>
    <cellStyle name="Normal 12 3 2 2 2" xfId="1614" xr:uid="{E47F0403-B8C3-4981-998A-2401479F1922}"/>
    <cellStyle name="Normal 12 3 2 3" xfId="1198" xr:uid="{F6F662BF-3435-4224-B4A7-DBF940C367FC}"/>
    <cellStyle name="Normal 12 3 3" xfId="773" xr:uid="{00000000-0005-0000-0000-0000D0010000}"/>
    <cellStyle name="Normal 12 3 3 2" xfId="1613" xr:uid="{5F7A2CC5-CAF7-4E27-99FB-1A9A63B150D1}"/>
    <cellStyle name="Normal 12 3 4" xfId="1197" xr:uid="{82B01885-76B5-4D18-8802-7134C2198CB2}"/>
    <cellStyle name="Normal 12 4" xfId="268" xr:uid="{00000000-0005-0000-0000-0000D1010000}"/>
    <cellStyle name="Normal 12 4 2" xfId="775" xr:uid="{00000000-0005-0000-0000-0000D2010000}"/>
    <cellStyle name="Normal 12 4 2 2" xfId="1615" xr:uid="{22FB41DE-B18A-44E1-8C7E-BB7E15DFA019}"/>
    <cellStyle name="Normal 12 4 3" xfId="1199" xr:uid="{DE0FC87F-6068-4B98-87E0-A3FBC0F59515}"/>
    <cellStyle name="Normal 12 5" xfId="269" xr:uid="{00000000-0005-0000-0000-0000D3010000}"/>
    <cellStyle name="Normal 12 6" xfId="768" xr:uid="{00000000-0005-0000-0000-0000D4010000}"/>
    <cellStyle name="Normal 12 6 2" xfId="1608" xr:uid="{C1DA14C2-A040-4362-9329-18FB9514DD70}"/>
    <cellStyle name="Normal 12 7" xfId="1192" xr:uid="{E329DCCC-A971-400E-BE0C-7692592DD45C}"/>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2B4CAB09-1C3B-4246-A9A2-3F18F0E39FFB}"/>
    <cellStyle name="Normal 14 3" xfId="1200" xr:uid="{64B57F72-EC02-41D9-8B09-C89E35D5A69A}"/>
    <cellStyle name="Normal 15" xfId="575" xr:uid="{00000000-0005-0000-0000-0000D9010000}"/>
    <cellStyle name="Normal 15 2" xfId="1445" xr:uid="{8960BB23-3E74-419A-8000-034777F5CEBF}"/>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555FFDB2-E77E-4860-B2A1-8CD0B3D40552}"/>
    <cellStyle name="Normal 2 4 2 3 2 2 2 3" xfId="1205" xr:uid="{27A4010A-5F09-482D-8DEC-DBDE930FB461}"/>
    <cellStyle name="Normal 2 4 2 3 2 2 3" xfId="782" xr:uid="{00000000-0005-0000-0000-0000EC010000}"/>
    <cellStyle name="Normal 2 4 2 3 2 2 3 2" xfId="1620" xr:uid="{183736C6-6ED7-4C23-8CCA-0247DCE78AD7}"/>
    <cellStyle name="Normal 2 4 2 3 2 2 4" xfId="1204" xr:uid="{F400D3FD-7150-4246-9AAF-8F3BFAAD1CE3}"/>
    <cellStyle name="Normal 2 4 2 3 2 3" xfId="288" xr:uid="{00000000-0005-0000-0000-0000ED010000}"/>
    <cellStyle name="Normal 2 4 2 3 2 3 2" xfId="784" xr:uid="{00000000-0005-0000-0000-0000EE010000}"/>
    <cellStyle name="Normal 2 4 2 3 2 3 2 2" xfId="1622" xr:uid="{C8186B0B-F730-4B79-8476-3E7071CE3EC2}"/>
    <cellStyle name="Normal 2 4 2 3 2 3 3" xfId="1206" xr:uid="{B65F08A4-42D6-4464-ABA4-5B42F296EBB9}"/>
    <cellStyle name="Normal 2 4 2 3 2 4" xfId="781" xr:uid="{00000000-0005-0000-0000-0000EF010000}"/>
    <cellStyle name="Normal 2 4 2 3 2 4 2" xfId="1619" xr:uid="{C270A65C-721D-4579-8891-0384D4F3BAAE}"/>
    <cellStyle name="Normal 2 4 2 3 2 5" xfId="1203" xr:uid="{D5D99DCB-9B30-43B6-9475-4CCEC0D8C494}"/>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62EF3647-D571-4288-B8C9-C6D6D198E075}"/>
    <cellStyle name="Normal 2 4 2 3 3 2 3" xfId="1208" xr:uid="{1C5C424A-69F8-4FF9-AD39-4EDAD373439F}"/>
    <cellStyle name="Normal 2 4 2 3 3 3" xfId="785" xr:uid="{00000000-0005-0000-0000-0000F3010000}"/>
    <cellStyle name="Normal 2 4 2 3 3 3 2" xfId="1623" xr:uid="{AE323F1B-7175-460F-BD2D-B54DB9DF6473}"/>
    <cellStyle name="Normal 2 4 2 3 3 4" xfId="1207" xr:uid="{9717CAB5-63D5-4CF4-9BB6-B38BDFE19F3F}"/>
    <cellStyle name="Normal 2 4 2 3 4" xfId="291" xr:uid="{00000000-0005-0000-0000-0000F4010000}"/>
    <cellStyle name="Normal 2 4 2 3 4 2" xfId="787" xr:uid="{00000000-0005-0000-0000-0000F5010000}"/>
    <cellStyle name="Normal 2 4 2 3 4 2 2" xfId="1625" xr:uid="{35864E8B-3B79-4262-B210-C4803CCE097B}"/>
    <cellStyle name="Normal 2 4 2 3 4 3" xfId="1209" xr:uid="{B7D1C380-F9EC-4878-BFC2-4BB82EC42E55}"/>
    <cellStyle name="Normal 2 4 2 3 5" xfId="780" xr:uid="{00000000-0005-0000-0000-0000F6010000}"/>
    <cellStyle name="Normal 2 4 2 3 5 2" xfId="1618" xr:uid="{12F67D41-D76E-4C94-9509-E23B208D3F30}"/>
    <cellStyle name="Normal 2 4 2 3 6" xfId="1202" xr:uid="{494DEB4E-1EAD-464C-8FCC-8993C19C4B6B}"/>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CB7B1A94-EB8B-4421-AB5C-3DCE1AC2FA3B}"/>
    <cellStyle name="Normal 2 4 2 4 2 2 3" xfId="1212" xr:uid="{05505600-4163-4B92-A2F6-A1A883E3DF92}"/>
    <cellStyle name="Normal 2 4 2 4 2 3" xfId="789" xr:uid="{00000000-0005-0000-0000-0000FB010000}"/>
    <cellStyle name="Normal 2 4 2 4 2 3 2" xfId="1627" xr:uid="{18C51A53-0418-4768-B2A1-0699811E4156}"/>
    <cellStyle name="Normal 2 4 2 4 2 4" xfId="1211" xr:uid="{1C7F6992-BD4D-4DCD-BB95-0F411236CDC4}"/>
    <cellStyle name="Normal 2 4 2 4 3" xfId="295" xr:uid="{00000000-0005-0000-0000-0000FC010000}"/>
    <cellStyle name="Normal 2 4 2 4 3 2" xfId="791" xr:uid="{00000000-0005-0000-0000-0000FD010000}"/>
    <cellStyle name="Normal 2 4 2 4 3 2 2" xfId="1629" xr:uid="{210AF5E1-E58F-48EF-9D51-99B5E390316A}"/>
    <cellStyle name="Normal 2 4 2 4 3 3" xfId="1213" xr:uid="{9E5074E3-6E5E-44E1-8496-A37D8A01A084}"/>
    <cellStyle name="Normal 2 4 2 4 4" xfId="788" xr:uid="{00000000-0005-0000-0000-0000FE010000}"/>
    <cellStyle name="Normal 2 4 2 4 4 2" xfId="1626" xr:uid="{E46AF28A-E853-44E8-A29F-E7479E77BEE9}"/>
    <cellStyle name="Normal 2 4 2 4 5" xfId="1210" xr:uid="{76D42F5D-F520-4091-B3EF-39807F45000B}"/>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1BD9D109-DE85-43F2-8914-58C0C01AF50C}"/>
    <cellStyle name="Normal 2 4 2 5 2 3" xfId="1215" xr:uid="{2456C428-58F0-4299-8DD7-F2A221E2B6F7}"/>
    <cellStyle name="Normal 2 4 2 5 3" xfId="792" xr:uid="{00000000-0005-0000-0000-000002020000}"/>
    <cellStyle name="Normal 2 4 2 5 3 2" xfId="1630" xr:uid="{368FD39B-C1A9-4CD5-A846-83C8FD30FAC9}"/>
    <cellStyle name="Normal 2 4 2 5 4" xfId="1214" xr:uid="{E95B0CEE-96DE-4C6D-B02F-BC4F9B34B35F}"/>
    <cellStyle name="Normal 2 4 2 6" xfId="298" xr:uid="{00000000-0005-0000-0000-000003020000}"/>
    <cellStyle name="Normal 2 4 2 6 2" xfId="794" xr:uid="{00000000-0005-0000-0000-000004020000}"/>
    <cellStyle name="Normal 2 4 2 6 2 2" xfId="1632" xr:uid="{BCDB1023-34F1-4F66-B617-42524105E1EB}"/>
    <cellStyle name="Normal 2 4 2 6 3" xfId="1216" xr:uid="{0C24B884-0E1C-4307-AC3C-B5C36947FD3A}"/>
    <cellStyle name="Normal 2 4 2 7" xfId="779" xr:uid="{00000000-0005-0000-0000-000005020000}"/>
    <cellStyle name="Normal 2 4 2 7 2" xfId="1617" xr:uid="{0504CF12-78C8-400F-8102-A1B9FBF5FA90}"/>
    <cellStyle name="Normal 2 4 2 8" xfId="1201" xr:uid="{4A70A920-F444-472A-A891-DC0BABCBF0FD}"/>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5B356FAB-8EDF-4CA6-B818-69A361D5DB46}"/>
    <cellStyle name="Normal 2 4 3 3 2 2 3" xfId="1220" xr:uid="{BE86B4EA-D389-4867-AEB6-16D5A9E149B5}"/>
    <cellStyle name="Normal 2 4 3 3 2 3" xfId="797" xr:uid="{00000000-0005-0000-0000-00000C020000}"/>
    <cellStyle name="Normal 2 4 3 3 2 3 2" xfId="1635" xr:uid="{8154A3AE-E28A-4249-B545-74262A44D269}"/>
    <cellStyle name="Normal 2 4 3 3 2 4" xfId="1219" xr:uid="{F8767BF0-826D-4105-BEC8-CB4630755DAD}"/>
    <cellStyle name="Normal 2 4 3 3 3" xfId="304" xr:uid="{00000000-0005-0000-0000-00000D020000}"/>
    <cellStyle name="Normal 2 4 3 3 3 2" xfId="799" xr:uid="{00000000-0005-0000-0000-00000E020000}"/>
    <cellStyle name="Normal 2 4 3 3 3 2 2" xfId="1637" xr:uid="{0912D952-2A1D-4850-BE3D-077182AC070F}"/>
    <cellStyle name="Normal 2 4 3 3 3 3" xfId="1221" xr:uid="{17366CAE-C923-4047-AE8F-457C10656125}"/>
    <cellStyle name="Normal 2 4 3 3 4" xfId="796" xr:uid="{00000000-0005-0000-0000-00000F020000}"/>
    <cellStyle name="Normal 2 4 3 3 4 2" xfId="1634" xr:uid="{10B88DF0-65C4-412F-95FC-C35BFB54445C}"/>
    <cellStyle name="Normal 2 4 3 3 5" xfId="1218" xr:uid="{2F3D0328-3A42-4A2C-B1F3-D6BF2DC46236}"/>
    <cellStyle name="Normal 2 4 3 4" xfId="795" xr:uid="{00000000-0005-0000-0000-000010020000}"/>
    <cellStyle name="Normal 2 4 3 4 2" xfId="1633" xr:uid="{8BBF2554-ABFA-4601-83EE-2F05A2D5603C}"/>
    <cellStyle name="Normal 2 4 3 5" xfId="1217" xr:uid="{80B4E208-639A-4186-85F0-FA79A54C359C}"/>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03E374FB-7934-4835-8A8F-E30559718494}"/>
    <cellStyle name="Normal 2 4 5 2 2 2 3" xfId="1225" xr:uid="{CB360392-DD79-4EC7-A878-5A2C0EADC887}"/>
    <cellStyle name="Normal 2 4 5 2 2 3" xfId="802" xr:uid="{00000000-0005-0000-0000-000017020000}"/>
    <cellStyle name="Normal 2 4 5 2 2 3 2" xfId="1640" xr:uid="{BC2C11D3-3014-4C4C-9AA8-6AB824D3574F}"/>
    <cellStyle name="Normal 2 4 5 2 2 4" xfId="1224" xr:uid="{5523B873-51D8-43C3-A06A-D5964E140295}"/>
    <cellStyle name="Normal 2 4 5 2 3" xfId="310" xr:uid="{00000000-0005-0000-0000-000018020000}"/>
    <cellStyle name="Normal 2 4 5 2 3 2" xfId="804" xr:uid="{00000000-0005-0000-0000-000019020000}"/>
    <cellStyle name="Normal 2 4 5 2 3 2 2" xfId="1642" xr:uid="{3A19E4B7-FCDD-4346-83C7-CD46378595FB}"/>
    <cellStyle name="Normal 2 4 5 2 3 3" xfId="1226" xr:uid="{596284CD-34E6-4A64-9A2D-C3F708993C76}"/>
    <cellStyle name="Normal 2 4 5 2 4" xfId="801" xr:uid="{00000000-0005-0000-0000-00001A020000}"/>
    <cellStyle name="Normal 2 4 5 2 4 2" xfId="1639" xr:uid="{DBE16F3C-4194-49F0-A5CB-0F62D33CEDF4}"/>
    <cellStyle name="Normal 2 4 5 2 5" xfId="1223" xr:uid="{3E509A89-A868-410C-8F47-C30142DCE80A}"/>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37A433FD-983F-448D-9ABC-B5C0F947F9BF}"/>
    <cellStyle name="Normal 2 4 5 3 2 3" xfId="1228" xr:uid="{EF3AFE00-7C78-442E-BC0A-F60C6CFBE1CF}"/>
    <cellStyle name="Normal 2 4 5 3 3" xfId="805" xr:uid="{00000000-0005-0000-0000-00001E020000}"/>
    <cellStyle name="Normal 2 4 5 3 3 2" xfId="1643" xr:uid="{D369218F-AD04-4D2D-AC40-BD6F78B5DD5C}"/>
    <cellStyle name="Normal 2 4 5 3 4" xfId="1227" xr:uid="{8A1D0245-9EAC-4DC2-9B5E-CC4075739406}"/>
    <cellStyle name="Normal 2 4 5 4" xfId="313" xr:uid="{00000000-0005-0000-0000-00001F020000}"/>
    <cellStyle name="Normal 2 4 5 4 2" xfId="807" xr:uid="{00000000-0005-0000-0000-000020020000}"/>
    <cellStyle name="Normal 2 4 5 4 2 2" xfId="1645" xr:uid="{27C220EB-B1B0-463F-8C67-A47126C0994D}"/>
    <cellStyle name="Normal 2 4 5 4 3" xfId="1229" xr:uid="{9B0A7BBC-5A52-4A8E-96D1-79A112FA4BAA}"/>
    <cellStyle name="Normal 2 4 5 5" xfId="800" xr:uid="{00000000-0005-0000-0000-000021020000}"/>
    <cellStyle name="Normal 2 4 5 5 2" xfId="1638" xr:uid="{331EF43E-D242-4AD9-A926-4C97E0550A02}"/>
    <cellStyle name="Normal 2 4 5 6" xfId="1222" xr:uid="{A51CD6CC-F5AF-44BB-B37A-40A714F85418}"/>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40CAEFC1-CAEB-4F22-9633-10A99EBF2CF6}"/>
    <cellStyle name="Normal 2 4 7 2 3" xfId="1231" xr:uid="{B43B7D2C-B717-4641-B259-DD1B374EB9F8}"/>
    <cellStyle name="Normal 2 4 7 3" xfId="808" xr:uid="{00000000-0005-0000-0000-000026020000}"/>
    <cellStyle name="Normal 2 4 7 3 2" xfId="1646" xr:uid="{9D0880E4-DCE3-40DA-9A90-665A189FD6BE}"/>
    <cellStyle name="Normal 2 4 7 4" xfId="1230" xr:uid="{6328C433-2D50-4D17-BF8A-5FBA863B775A}"/>
    <cellStyle name="Normal 2 4 8" xfId="317" xr:uid="{00000000-0005-0000-0000-000027020000}"/>
    <cellStyle name="Normal 2 4 8 2" xfId="810" xr:uid="{00000000-0005-0000-0000-000028020000}"/>
    <cellStyle name="Normal 2 4 8 2 2" xfId="1648" xr:uid="{B808725E-1C75-4B5C-B709-CCB6CAE236AA}"/>
    <cellStyle name="Normal 2 4 8 3" xfId="1232" xr:uid="{4EA9B84E-5E1D-4FC7-94F5-64FE735465BA}"/>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218D3342-5EFA-4770-B524-0F1D49CAB754}"/>
    <cellStyle name="Normal 2 5 4 2 2 3" xfId="1236" xr:uid="{502F9505-24C9-43D0-A9B6-08A1D9BF4538}"/>
    <cellStyle name="Normal 2 5 4 2 3" xfId="813" xr:uid="{00000000-0005-0000-0000-000030020000}"/>
    <cellStyle name="Normal 2 5 4 2 3 2" xfId="1651" xr:uid="{24C5B3A1-CC13-4248-8B9D-4F093001C772}"/>
    <cellStyle name="Normal 2 5 4 2 4" xfId="1235" xr:uid="{AE1B99A3-6968-410E-BBC0-F1AB1BD1CB48}"/>
    <cellStyle name="Normal 2 5 4 3" xfId="324" xr:uid="{00000000-0005-0000-0000-000031020000}"/>
    <cellStyle name="Normal 2 5 4 3 2" xfId="815" xr:uid="{00000000-0005-0000-0000-000032020000}"/>
    <cellStyle name="Normal 2 5 4 3 2 2" xfId="1653" xr:uid="{A9ED3052-5604-4C16-93F4-CF8AC314C8EA}"/>
    <cellStyle name="Normal 2 5 4 3 3" xfId="1237" xr:uid="{F7F5F7FC-6B7C-455D-B8E8-64477C5B3EAF}"/>
    <cellStyle name="Normal 2 5 4 4" xfId="812" xr:uid="{00000000-0005-0000-0000-000033020000}"/>
    <cellStyle name="Normal 2 5 4 4 2" xfId="1650" xr:uid="{3E4DA209-4F03-45CC-9798-A0DB3136F468}"/>
    <cellStyle name="Normal 2 5 4 5" xfId="1234" xr:uid="{35E37130-3256-4589-9FAF-D0433D454172}"/>
    <cellStyle name="Normal 2 5 5" xfId="811" xr:uid="{00000000-0005-0000-0000-000034020000}"/>
    <cellStyle name="Normal 2 5 5 2" xfId="1649" xr:uid="{C254D908-EED7-4594-9573-0BF77FE0CD4F}"/>
    <cellStyle name="Normal 2 5 6" xfId="1233" xr:uid="{E902C136-564B-4E70-A2D3-0BEE8EFFCC29}"/>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0E24EDD8-1CC6-42F3-9A81-157E95B88DF6}"/>
    <cellStyle name="Normal 3 2 3 2 2 3" xfId="1241" xr:uid="{18C8814E-1FFA-4190-9546-C0C9CDBEB6E1}"/>
    <cellStyle name="Normal 3 2 3 2 3" xfId="820" xr:uid="{00000000-0005-0000-0000-00003F020000}"/>
    <cellStyle name="Normal 3 2 3 2 3 2" xfId="1656" xr:uid="{860B3E20-84FD-46F0-9E92-67AE78CDE907}"/>
    <cellStyle name="Normal 3 2 3 2 4" xfId="1240" xr:uid="{8669F2D6-731A-4F68-868C-D3E37E1FDFBF}"/>
    <cellStyle name="Normal 3 2 3 3" xfId="332" xr:uid="{00000000-0005-0000-0000-000040020000}"/>
    <cellStyle name="Normal 3 2 3 3 2" xfId="822" xr:uid="{00000000-0005-0000-0000-000041020000}"/>
    <cellStyle name="Normal 3 2 3 3 2 2" xfId="1658" xr:uid="{F6FD11F3-05CC-469B-BC07-4081C026A582}"/>
    <cellStyle name="Normal 3 2 3 3 3" xfId="1242" xr:uid="{AFF40AAE-C852-4DCD-8098-2122A0CBC9D0}"/>
    <cellStyle name="Normal 3 2 3 4" xfId="819" xr:uid="{00000000-0005-0000-0000-000042020000}"/>
    <cellStyle name="Normal 3 2 3 4 2" xfId="1655" xr:uid="{29CA2272-96F3-48E2-ACEC-ECC1098080B6}"/>
    <cellStyle name="Normal 3 2 3 5" xfId="1239" xr:uid="{2CCAEAA1-4B2B-4B85-AE92-2D8796DC3F41}"/>
    <cellStyle name="Normal 3 2 4" xfId="817" xr:uid="{00000000-0005-0000-0000-000043020000}"/>
    <cellStyle name="Normal 3 2 4 2" xfId="1654" xr:uid="{A82C7167-41E0-4CC3-8DEB-35362B283A37}"/>
    <cellStyle name="Normal 3 2 5" xfId="1238" xr:uid="{A94ECA8D-57A7-418E-A899-DF656B938E61}"/>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B26FA490-2F72-443C-AFE0-5386DA16B5BF}"/>
    <cellStyle name="Normal 4 2 2 3 2 2 2 3" xfId="1247" xr:uid="{ED18F215-7EDF-44CF-A28F-E06FA407918B}"/>
    <cellStyle name="Normal 4 2 2 3 2 2 3" xfId="826" xr:uid="{00000000-0005-0000-0000-000053020000}"/>
    <cellStyle name="Normal 4 2 2 3 2 2 3 2" xfId="1662" xr:uid="{C6E2DBE4-EE4A-4D62-9D63-BC5A039DD3B5}"/>
    <cellStyle name="Normal 4 2 2 3 2 2 4" xfId="1246" xr:uid="{2B03587A-C717-49E1-94AF-83363D3A5BBF}"/>
    <cellStyle name="Normal 4 2 2 3 2 3" xfId="346" xr:uid="{00000000-0005-0000-0000-000054020000}"/>
    <cellStyle name="Normal 4 2 2 3 2 3 2" xfId="828" xr:uid="{00000000-0005-0000-0000-000055020000}"/>
    <cellStyle name="Normal 4 2 2 3 2 3 2 2" xfId="1664" xr:uid="{5FAEDDB0-C0F3-44D7-93A4-3E23D95C9F07}"/>
    <cellStyle name="Normal 4 2 2 3 2 3 3" xfId="1248" xr:uid="{0628C9E6-143E-49DB-BB06-9F9040F32BCA}"/>
    <cellStyle name="Normal 4 2 2 3 2 4" xfId="825" xr:uid="{00000000-0005-0000-0000-000056020000}"/>
    <cellStyle name="Normal 4 2 2 3 2 4 2" xfId="1661" xr:uid="{7BDED228-2E43-4148-8415-630BF3446E49}"/>
    <cellStyle name="Normal 4 2 2 3 2 5" xfId="1245" xr:uid="{10DC360D-E890-4EB3-8055-93F515212004}"/>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F26E1C50-FF05-427F-8B29-B067D9E61D17}"/>
    <cellStyle name="Normal 4 2 2 3 3 2 3" xfId="1250" xr:uid="{5F8B419D-4834-45F1-9260-CE11B29F0484}"/>
    <cellStyle name="Normal 4 2 2 3 3 3" xfId="829" xr:uid="{00000000-0005-0000-0000-00005A020000}"/>
    <cellStyle name="Normal 4 2 2 3 3 3 2" xfId="1665" xr:uid="{A9A7C370-983B-4772-A170-D20681E729BC}"/>
    <cellStyle name="Normal 4 2 2 3 3 4" xfId="1249" xr:uid="{44CA7CD8-AE9E-43EB-96E9-97A6EC1C9120}"/>
    <cellStyle name="Normal 4 2 2 3 4" xfId="349" xr:uid="{00000000-0005-0000-0000-00005B020000}"/>
    <cellStyle name="Normal 4 2 2 3 4 2" xfId="831" xr:uid="{00000000-0005-0000-0000-00005C020000}"/>
    <cellStyle name="Normal 4 2 2 3 4 2 2" xfId="1667" xr:uid="{162F213B-4915-42DC-8471-8F1E084C82C2}"/>
    <cellStyle name="Normal 4 2 2 3 4 3" xfId="1251" xr:uid="{F0CEEB98-430E-44C3-8C92-F4CDECB18BBB}"/>
    <cellStyle name="Normal 4 2 2 3 5" xfId="824" xr:uid="{00000000-0005-0000-0000-00005D020000}"/>
    <cellStyle name="Normal 4 2 2 3 5 2" xfId="1660" xr:uid="{3BEED572-AF02-4E2E-86A3-43362960DD77}"/>
    <cellStyle name="Normal 4 2 2 3 6" xfId="1244" xr:uid="{0E1A3EB7-2985-44E6-A421-3B88CC41CC8A}"/>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CE692C39-011F-4DB3-97E7-CD7FC443724A}"/>
    <cellStyle name="Normal 4 2 2 4 2 2 3" xfId="1254" xr:uid="{42FCA37A-34F3-4AE0-851C-15F886E91D88}"/>
    <cellStyle name="Normal 4 2 2 4 2 3" xfId="833" xr:uid="{00000000-0005-0000-0000-000062020000}"/>
    <cellStyle name="Normal 4 2 2 4 2 3 2" xfId="1669" xr:uid="{99F54EFC-594A-4373-81EE-2C39CBBBE5E9}"/>
    <cellStyle name="Normal 4 2 2 4 2 4" xfId="1253" xr:uid="{CB19C9A1-FD62-4FBA-AA7F-05546522BDDB}"/>
    <cellStyle name="Normal 4 2 2 4 3" xfId="353" xr:uid="{00000000-0005-0000-0000-000063020000}"/>
    <cellStyle name="Normal 4 2 2 4 3 2" xfId="835" xr:uid="{00000000-0005-0000-0000-000064020000}"/>
    <cellStyle name="Normal 4 2 2 4 3 2 2" xfId="1671" xr:uid="{23F399B9-4E23-4818-BCC4-47A01105711B}"/>
    <cellStyle name="Normal 4 2 2 4 3 3" xfId="1255" xr:uid="{82F5D252-25F2-4BC1-9D6E-F4B18A624885}"/>
    <cellStyle name="Normal 4 2 2 4 4" xfId="832" xr:uid="{00000000-0005-0000-0000-000065020000}"/>
    <cellStyle name="Normal 4 2 2 4 4 2" xfId="1668" xr:uid="{A1BDCC3B-B5B5-4CC6-A7B9-516D47C501A8}"/>
    <cellStyle name="Normal 4 2 2 4 5" xfId="1252" xr:uid="{9C7E99C2-7688-4264-9E18-D915CF63026D}"/>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D9BF6A4C-0D96-4F5E-862B-7D178915C673}"/>
    <cellStyle name="Normal 4 2 2 5 2 3" xfId="1257" xr:uid="{53630216-77B3-4C76-9DDE-7E0F66921152}"/>
    <cellStyle name="Normal 4 2 2 5 3" xfId="836" xr:uid="{00000000-0005-0000-0000-000069020000}"/>
    <cellStyle name="Normal 4 2 2 5 3 2" xfId="1672" xr:uid="{49589198-F504-4FDE-824A-D4EB30A012C8}"/>
    <cellStyle name="Normal 4 2 2 5 4" xfId="1256" xr:uid="{1BF9D457-6B77-40D1-970A-239D5F3AA80E}"/>
    <cellStyle name="Normal 4 2 2 6" xfId="356" xr:uid="{00000000-0005-0000-0000-00006A020000}"/>
    <cellStyle name="Normal 4 2 2 6 2" xfId="838" xr:uid="{00000000-0005-0000-0000-00006B020000}"/>
    <cellStyle name="Normal 4 2 2 6 2 2" xfId="1674" xr:uid="{B21746A1-04A7-42F3-86D1-F66532ACA8D6}"/>
    <cellStyle name="Normal 4 2 2 6 3" xfId="1258" xr:uid="{D78B7D68-1576-4F9E-940F-678026265757}"/>
    <cellStyle name="Normal 4 2 2 7" xfId="823" xr:uid="{00000000-0005-0000-0000-00006C020000}"/>
    <cellStyle name="Normal 4 2 2 7 2" xfId="1659" xr:uid="{3B369119-A710-4C33-9566-2A0B2248682A}"/>
    <cellStyle name="Normal 4 2 2 8" xfId="1243" xr:uid="{17A9BB52-1A22-463F-B2A4-8877925E6BF4}"/>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69A2F36B-3EB5-4C55-B21C-ADD81F5FCB1C}"/>
    <cellStyle name="Normal 4 2 4 2 2 2 3" xfId="1262" xr:uid="{EFC95035-F82C-4746-B5A4-8F450F43AEC2}"/>
    <cellStyle name="Normal 4 2 4 2 2 3" xfId="841" xr:uid="{00000000-0005-0000-0000-000073020000}"/>
    <cellStyle name="Normal 4 2 4 2 2 3 2" xfId="1677" xr:uid="{1CE0AF90-3B87-4AEE-B4A9-AC39DAD3102C}"/>
    <cellStyle name="Normal 4 2 4 2 2 4" xfId="1261" xr:uid="{3AFBC846-ED72-44D6-9960-2F7EE786A48B}"/>
    <cellStyle name="Normal 4 2 4 2 3" xfId="362" xr:uid="{00000000-0005-0000-0000-000074020000}"/>
    <cellStyle name="Normal 4 2 4 2 3 2" xfId="843" xr:uid="{00000000-0005-0000-0000-000075020000}"/>
    <cellStyle name="Normal 4 2 4 2 3 2 2" xfId="1679" xr:uid="{093278F9-9B5A-433C-853D-DF414C9E7796}"/>
    <cellStyle name="Normal 4 2 4 2 3 3" xfId="1263" xr:uid="{891AFA98-97A7-4110-BEB3-1E61F75C07BC}"/>
    <cellStyle name="Normal 4 2 4 2 4" xfId="840" xr:uid="{00000000-0005-0000-0000-000076020000}"/>
    <cellStyle name="Normal 4 2 4 2 4 2" xfId="1676" xr:uid="{E15498EC-BCD8-4664-85A8-BC882AB07258}"/>
    <cellStyle name="Normal 4 2 4 2 5" xfId="1260" xr:uid="{5695E4FD-4E2D-44C4-BA4F-F3E6FB7C8DD7}"/>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3BADB6E2-C9B0-460B-B63D-912D042A27BF}"/>
    <cellStyle name="Normal 4 2 4 3 2 3" xfId="1265" xr:uid="{19E05B74-42B0-4DC9-AC5E-EBB3E64EEAE7}"/>
    <cellStyle name="Normal 4 2 4 3 3" xfId="844" xr:uid="{00000000-0005-0000-0000-00007A020000}"/>
    <cellStyle name="Normal 4 2 4 3 3 2" xfId="1680" xr:uid="{BC476346-CA8D-430C-80A7-F06830269330}"/>
    <cellStyle name="Normal 4 2 4 3 4" xfId="1264" xr:uid="{56C58FF0-85A7-44B9-B69A-092A60A7C85E}"/>
    <cellStyle name="Normal 4 2 4 4" xfId="365" xr:uid="{00000000-0005-0000-0000-00007B020000}"/>
    <cellStyle name="Normal 4 2 4 4 2" xfId="846" xr:uid="{00000000-0005-0000-0000-00007C020000}"/>
    <cellStyle name="Normal 4 2 4 4 2 2" xfId="1682" xr:uid="{089E3F46-CA79-4BFE-B283-99F0DC33DEF1}"/>
    <cellStyle name="Normal 4 2 4 4 3" xfId="1266" xr:uid="{D92BAADB-2C8B-4914-BC30-52F03164D2F1}"/>
    <cellStyle name="Normal 4 2 4 5" xfId="839" xr:uid="{00000000-0005-0000-0000-00007D020000}"/>
    <cellStyle name="Normal 4 2 4 5 2" xfId="1675" xr:uid="{C57A7321-D64A-4D1E-BABC-EA5CF66E2602}"/>
    <cellStyle name="Normal 4 2 4 6" xfId="1259" xr:uid="{4BDB639A-B515-4894-ADA2-6A4EF5E10E4F}"/>
    <cellStyle name="Normal 4 2 5" xfId="366" xr:uid="{00000000-0005-0000-0000-00007E020000}"/>
    <cellStyle name="Normal 4 2 5 2" xfId="367" xr:uid="{00000000-0005-0000-0000-00007F020000}"/>
    <cellStyle name="Normal 4 2 5 2 2" xfId="848" xr:uid="{00000000-0005-0000-0000-000080020000}"/>
    <cellStyle name="Normal 4 2 5 2 2 2" xfId="1684" xr:uid="{C34F2E30-38C0-4164-94DF-50039AAD2113}"/>
    <cellStyle name="Normal 4 2 5 2 3" xfId="1268" xr:uid="{BDBD586A-7DE5-41CC-B657-57629F6C848C}"/>
    <cellStyle name="Normal 4 2 5 3" xfId="847" xr:uid="{00000000-0005-0000-0000-000081020000}"/>
    <cellStyle name="Normal 4 2 5 3 2" xfId="1683" xr:uid="{3F895D06-7DD9-4DFE-A25C-CDF06A4787BC}"/>
    <cellStyle name="Normal 4 2 5 4" xfId="1267" xr:uid="{A43323A0-AC0A-4A8C-A54A-35D26EBE6A18}"/>
    <cellStyle name="Normal 4 2 6" xfId="368" xr:uid="{00000000-0005-0000-0000-000082020000}"/>
    <cellStyle name="Normal 4 2 6 2" xfId="849" xr:uid="{00000000-0005-0000-0000-000083020000}"/>
    <cellStyle name="Normal 4 2 6 2 2" xfId="1685" xr:uid="{46F548A7-A973-45AA-B45B-50B1882A24E7}"/>
    <cellStyle name="Normal 4 2 6 3" xfId="1269" xr:uid="{CA938A9B-893D-44C5-91E5-4CAC124E34E9}"/>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ECCCCB57-1098-4FE4-835A-5AED10D2231E}"/>
    <cellStyle name="Normal 4 3 2 2 2 2 2 3" xfId="1273" xr:uid="{4B183516-218C-493D-A2D5-FA582F6CBB19}"/>
    <cellStyle name="Normal 4 3 2 2 2 2 3" xfId="853" xr:uid="{00000000-0005-0000-0000-00008B020000}"/>
    <cellStyle name="Normal 4 3 2 2 2 2 3 2" xfId="1688" xr:uid="{C97ED991-BDAB-43BA-B3AD-644CAB499EE8}"/>
    <cellStyle name="Normal 4 3 2 2 2 2 4" xfId="1272" xr:uid="{3854627B-17F4-4463-A55C-C33811A12C90}"/>
    <cellStyle name="Normal 4 3 2 2 2 3" xfId="375" xr:uid="{00000000-0005-0000-0000-00008C020000}"/>
    <cellStyle name="Normal 4 3 2 2 2 3 2" xfId="855" xr:uid="{00000000-0005-0000-0000-00008D020000}"/>
    <cellStyle name="Normal 4 3 2 2 2 3 2 2" xfId="1690" xr:uid="{F2627BD8-3CB5-42FF-887B-6641910FFF08}"/>
    <cellStyle name="Normal 4 3 2 2 2 3 3" xfId="1274" xr:uid="{51913B99-BC2D-4B82-965A-3E668FA45922}"/>
    <cellStyle name="Normal 4 3 2 2 2 4" xfId="852" xr:uid="{00000000-0005-0000-0000-00008E020000}"/>
    <cellStyle name="Normal 4 3 2 2 2 4 2" xfId="1687" xr:uid="{0BEC045E-F284-4B5E-ACA6-0C81D1D4D5BA}"/>
    <cellStyle name="Normal 4 3 2 2 2 5" xfId="1271" xr:uid="{97709168-23B6-418C-945A-5423D17E858A}"/>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D0010D00-60A7-4920-AD7E-9943C2C98762}"/>
    <cellStyle name="Normal 4 3 3 2 2 3" xfId="1277" xr:uid="{6E41769E-ADDA-47A3-932E-2C1E830BA668}"/>
    <cellStyle name="Normal 4 3 3 2 3" xfId="858" xr:uid="{00000000-0005-0000-0000-000096020000}"/>
    <cellStyle name="Normal 4 3 3 2 3 2" xfId="1692" xr:uid="{C11C4434-DBCC-4733-B6A3-C178262941E4}"/>
    <cellStyle name="Normal 4 3 3 2 4" xfId="1276" xr:uid="{F36C4882-CF5B-4FC1-A0E9-08D23BD86FCF}"/>
    <cellStyle name="Normal 4 3 3 3" xfId="380" xr:uid="{00000000-0005-0000-0000-000097020000}"/>
    <cellStyle name="Normal 4 3 3 3 2" xfId="860" xr:uid="{00000000-0005-0000-0000-000098020000}"/>
    <cellStyle name="Normal 4 3 3 3 2 2" xfId="1694" xr:uid="{B44FE08E-A2B7-44C8-8D48-FCEED195164F}"/>
    <cellStyle name="Normal 4 3 3 3 3" xfId="1278" xr:uid="{8C9C06C3-6010-49AC-91CD-4892201A71D7}"/>
    <cellStyle name="Normal 4 3 3 4" xfId="857" xr:uid="{00000000-0005-0000-0000-000099020000}"/>
    <cellStyle name="Normal 4 3 3 4 2" xfId="1691" xr:uid="{9586FBD3-43A2-47FC-A478-F6F2558B3E46}"/>
    <cellStyle name="Normal 4 3 3 5" xfId="1275" xr:uid="{E9C700D0-AE16-461E-A44F-95A2E5A1EECF}"/>
    <cellStyle name="Normal 4 3 4" xfId="850" xr:uid="{00000000-0005-0000-0000-00009A020000}"/>
    <cellStyle name="Normal 4 3 4 2" xfId="1686" xr:uid="{2A8DE619-B119-442D-B3E6-5A3026A5FF00}"/>
    <cellStyle name="Normal 4 3 5" xfId="1270" xr:uid="{F30B4DE0-673E-4CEF-892E-47C601CACBE1}"/>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A527E6C0-D171-4E54-B13F-E5763B749465}"/>
    <cellStyle name="Normal 4 4 2 2 2 2 3" xfId="1283" xr:uid="{06662915-B2C1-4FB7-B2BA-6962EA7AD59D}"/>
    <cellStyle name="Normal 4 4 2 2 2 3" xfId="864" xr:uid="{00000000-0005-0000-0000-0000A1020000}"/>
    <cellStyle name="Normal 4 4 2 2 2 3 2" xfId="1698" xr:uid="{1475C014-9793-4FD0-94B9-323832BE70FE}"/>
    <cellStyle name="Normal 4 4 2 2 2 4" xfId="1282" xr:uid="{88B835F0-BDFD-4471-8416-AAA0496FB82B}"/>
    <cellStyle name="Normal 4 4 2 2 3" xfId="386" xr:uid="{00000000-0005-0000-0000-0000A2020000}"/>
    <cellStyle name="Normal 4 4 2 2 3 2" xfId="866" xr:uid="{00000000-0005-0000-0000-0000A3020000}"/>
    <cellStyle name="Normal 4 4 2 2 3 2 2" xfId="1700" xr:uid="{C48152A9-43D4-4F2E-901B-1F49275F0100}"/>
    <cellStyle name="Normal 4 4 2 2 3 3" xfId="1284" xr:uid="{63E633D9-BA2D-4917-AB21-BAD88C794DCA}"/>
    <cellStyle name="Normal 4 4 2 2 4" xfId="863" xr:uid="{00000000-0005-0000-0000-0000A4020000}"/>
    <cellStyle name="Normal 4 4 2 2 4 2" xfId="1697" xr:uid="{18778186-C0AC-451A-87A2-E6CD934EFC48}"/>
    <cellStyle name="Normal 4 4 2 2 5" xfId="1281" xr:uid="{EB96AC33-B842-4620-BD86-6FEA9C5E34CA}"/>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5AEDC3D2-5FC9-4FD0-B550-653D1340A9CE}"/>
    <cellStyle name="Normal 4 4 2 3 2 3" xfId="1286" xr:uid="{D8383065-4099-4417-A2D4-0A2278A67306}"/>
    <cellStyle name="Normal 4 4 2 3 3" xfId="867" xr:uid="{00000000-0005-0000-0000-0000A8020000}"/>
    <cellStyle name="Normal 4 4 2 3 3 2" xfId="1701" xr:uid="{F32BD6A6-FFC5-4C4F-A81D-BE765CE8C0D4}"/>
    <cellStyle name="Normal 4 4 2 3 4" xfId="1285" xr:uid="{1A2D9384-761B-42E2-A7EC-3C33E1C48DB0}"/>
    <cellStyle name="Normal 4 4 2 4" xfId="389" xr:uid="{00000000-0005-0000-0000-0000A9020000}"/>
    <cellStyle name="Normal 4 4 2 4 2" xfId="869" xr:uid="{00000000-0005-0000-0000-0000AA020000}"/>
    <cellStyle name="Normal 4 4 2 4 2 2" xfId="1703" xr:uid="{E8DB4D5B-4BD5-4038-82DD-1CD2B80BE365}"/>
    <cellStyle name="Normal 4 4 2 4 3" xfId="1287" xr:uid="{7ACADE95-BCB2-4079-84D6-10EE94F91D10}"/>
    <cellStyle name="Normal 4 4 2 5" xfId="862" xr:uid="{00000000-0005-0000-0000-0000AB020000}"/>
    <cellStyle name="Normal 4 4 2 5 2" xfId="1696" xr:uid="{6246234E-B4FB-4149-9949-3AD77FFE7B83}"/>
    <cellStyle name="Normal 4 4 2 6" xfId="1280" xr:uid="{6E4358D6-CEF2-4221-AA42-5CCF16760851}"/>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36DB2F44-3AC2-485D-8A51-4C56CC9CFB0D}"/>
    <cellStyle name="Normal 4 4 3 2 2 3" xfId="1290" xr:uid="{D736FD94-1CED-4B4E-9638-7880F0C20C81}"/>
    <cellStyle name="Normal 4 4 3 2 3" xfId="871" xr:uid="{00000000-0005-0000-0000-0000B0020000}"/>
    <cellStyle name="Normal 4 4 3 2 3 2" xfId="1705" xr:uid="{8D60E5D6-7334-4F69-8BC1-39839A38FA7B}"/>
    <cellStyle name="Normal 4 4 3 2 4" xfId="1289" xr:uid="{152A201F-C61D-47C0-87E6-21E701920E45}"/>
    <cellStyle name="Normal 4 4 3 3" xfId="393" xr:uid="{00000000-0005-0000-0000-0000B1020000}"/>
    <cellStyle name="Normal 4 4 3 3 2" xfId="873" xr:uid="{00000000-0005-0000-0000-0000B2020000}"/>
    <cellStyle name="Normal 4 4 3 3 2 2" xfId="1707" xr:uid="{A218BB4F-70F7-4682-A7F8-767D0F0D4D38}"/>
    <cellStyle name="Normal 4 4 3 3 3" xfId="1291" xr:uid="{B28A3A09-B4D8-4941-BE32-E96D0E8B181C}"/>
    <cellStyle name="Normal 4 4 3 4" xfId="870" xr:uid="{00000000-0005-0000-0000-0000B3020000}"/>
    <cellStyle name="Normal 4 4 3 4 2" xfId="1704" xr:uid="{4BEBE33F-7195-48F0-91A5-FB3131CB9F1A}"/>
    <cellStyle name="Normal 4 4 3 5" xfId="1288" xr:uid="{7D271D65-103B-442B-A297-5E187780F39E}"/>
    <cellStyle name="Normal 4 4 4" xfId="394" xr:uid="{00000000-0005-0000-0000-0000B4020000}"/>
    <cellStyle name="Normal 4 4 4 2" xfId="395" xr:uid="{00000000-0005-0000-0000-0000B5020000}"/>
    <cellStyle name="Normal 4 4 4 2 2" xfId="875" xr:uid="{00000000-0005-0000-0000-0000B6020000}"/>
    <cellStyle name="Normal 4 4 4 2 2 2" xfId="1709" xr:uid="{B683B0EF-E431-4902-A968-8A8521214E2F}"/>
    <cellStyle name="Normal 4 4 4 2 3" xfId="1293" xr:uid="{957F514B-599F-4F98-B82C-57B436E9DFBF}"/>
    <cellStyle name="Normal 4 4 4 3" xfId="874" xr:uid="{00000000-0005-0000-0000-0000B7020000}"/>
    <cellStyle name="Normal 4 4 4 3 2" xfId="1708" xr:uid="{E9932D81-B65E-4D2E-BDD4-AE62C5FE29F5}"/>
    <cellStyle name="Normal 4 4 4 4" xfId="1292" xr:uid="{8F1B0A42-419B-49EA-9FCC-CEB111EA3A07}"/>
    <cellStyle name="Normal 4 4 5" xfId="396" xr:uid="{00000000-0005-0000-0000-0000B8020000}"/>
    <cellStyle name="Normal 4 4 5 2" xfId="876" xr:uid="{00000000-0005-0000-0000-0000B9020000}"/>
    <cellStyle name="Normal 4 4 5 2 2" xfId="1710" xr:uid="{55235DF9-1740-412F-954C-C41B7C1D37BB}"/>
    <cellStyle name="Normal 4 4 5 3" xfId="1294" xr:uid="{C3E24456-B74C-4F5B-81FC-58087D8B37FA}"/>
    <cellStyle name="Normal 4 4 6" xfId="861" xr:uid="{00000000-0005-0000-0000-0000BA020000}"/>
    <cellStyle name="Normal 4 4 6 2" xfId="1695" xr:uid="{F5E8BAD2-0FD9-4BDF-912F-FE13FBE8DE2F}"/>
    <cellStyle name="Normal 4 4 7" xfId="1279" xr:uid="{80BF0E4C-0507-4972-AE1E-532D16637148}"/>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A8A02E56-B5C2-44E8-8A57-1DCB3219B76D}"/>
    <cellStyle name="Normal 4 6 2 2 2 3" xfId="1298" xr:uid="{9CCDC9F3-E3CF-43DE-AE1D-A9400019BBA3}"/>
    <cellStyle name="Normal 4 6 2 2 3" xfId="879" xr:uid="{00000000-0005-0000-0000-0000C1020000}"/>
    <cellStyle name="Normal 4 6 2 2 3 2" xfId="1713" xr:uid="{117E67FC-140A-474B-ACB5-0C021D05D93C}"/>
    <cellStyle name="Normal 4 6 2 2 4" xfId="1297" xr:uid="{6A30E1D5-F46D-4909-A1A5-FF7862B1EFAE}"/>
    <cellStyle name="Normal 4 6 2 3" xfId="402" xr:uid="{00000000-0005-0000-0000-0000C2020000}"/>
    <cellStyle name="Normal 4 6 2 3 2" xfId="881" xr:uid="{00000000-0005-0000-0000-0000C3020000}"/>
    <cellStyle name="Normal 4 6 2 3 2 2" xfId="1715" xr:uid="{C74560AB-E75F-487D-98CA-4DF522A08B69}"/>
    <cellStyle name="Normal 4 6 2 3 3" xfId="1299" xr:uid="{7A55748E-8A7C-40DD-AD45-CC7FF2AF16B5}"/>
    <cellStyle name="Normal 4 6 2 4" xfId="878" xr:uid="{00000000-0005-0000-0000-0000C4020000}"/>
    <cellStyle name="Normal 4 6 2 4 2" xfId="1712" xr:uid="{9F328AC3-7F63-46D6-922C-763997D1B6AC}"/>
    <cellStyle name="Normal 4 6 2 5" xfId="1296" xr:uid="{60580F8A-DCAA-450A-A8AC-0B93BA43CFF5}"/>
    <cellStyle name="Normal 4 6 3" xfId="403" xr:uid="{00000000-0005-0000-0000-0000C5020000}"/>
    <cellStyle name="Normal 4 6 3 2" xfId="404" xr:uid="{00000000-0005-0000-0000-0000C6020000}"/>
    <cellStyle name="Normal 4 6 3 2 2" xfId="883" xr:uid="{00000000-0005-0000-0000-0000C7020000}"/>
    <cellStyle name="Normal 4 6 3 2 2 2" xfId="1717" xr:uid="{9654164A-70D9-455B-9E70-E9BE2CDBE8BD}"/>
    <cellStyle name="Normal 4 6 3 2 3" xfId="1301" xr:uid="{A002F770-E92A-41C0-BE20-E6C5E11130C1}"/>
    <cellStyle name="Normal 4 6 3 3" xfId="882" xr:uid="{00000000-0005-0000-0000-0000C8020000}"/>
    <cellStyle name="Normal 4 6 3 3 2" xfId="1716" xr:uid="{3DF20256-CE5C-44C3-804F-73D9C7379A44}"/>
    <cellStyle name="Normal 4 6 3 4" xfId="1300" xr:uid="{A4CF20E3-109C-4C8B-96B4-D34EE17F72C2}"/>
    <cellStyle name="Normal 4 6 4" xfId="405" xr:uid="{00000000-0005-0000-0000-0000C9020000}"/>
    <cellStyle name="Normal 4 6 4 2" xfId="884" xr:uid="{00000000-0005-0000-0000-0000CA020000}"/>
    <cellStyle name="Normal 4 6 4 2 2" xfId="1718" xr:uid="{199F5610-4A46-4717-8714-628D0D0DE6D1}"/>
    <cellStyle name="Normal 4 6 4 3" xfId="1302" xr:uid="{012CFC76-7EFA-4318-B1E4-90BA702213B0}"/>
    <cellStyle name="Normal 4 6 5" xfId="877" xr:uid="{00000000-0005-0000-0000-0000CB020000}"/>
    <cellStyle name="Normal 4 6 5 2" xfId="1711" xr:uid="{232DACAA-5C22-4A87-97C5-378F571F8DEA}"/>
    <cellStyle name="Normal 4 6 6" xfId="1295" xr:uid="{6E2235E7-EBEB-4CA0-BFCC-0984CEA540B5}"/>
    <cellStyle name="Normal 4 7" xfId="406" xr:uid="{00000000-0005-0000-0000-0000CC020000}"/>
    <cellStyle name="Normal 4 7 2" xfId="407" xr:uid="{00000000-0005-0000-0000-0000CD020000}"/>
    <cellStyle name="Normal 4 7 2 2" xfId="886" xr:uid="{00000000-0005-0000-0000-0000CE020000}"/>
    <cellStyle name="Normal 4 7 2 2 2" xfId="1720" xr:uid="{AC63303A-523D-49CA-866E-04AA48DAA544}"/>
    <cellStyle name="Normal 4 7 2 3" xfId="1304" xr:uid="{6799B0EC-7BF2-44A2-B8D2-66DC44AC9F1F}"/>
    <cellStyle name="Normal 4 7 3" xfId="885" xr:uid="{00000000-0005-0000-0000-0000CF020000}"/>
    <cellStyle name="Normal 4 7 3 2" xfId="1719" xr:uid="{AC19408E-4EA8-46D0-AE04-B1CE5AF5E77D}"/>
    <cellStyle name="Normal 4 7 4" xfId="1303" xr:uid="{AAF83B1F-2DD6-4B37-A207-FA0343BCE226}"/>
    <cellStyle name="Normal 4 8" xfId="408" xr:uid="{00000000-0005-0000-0000-0000D0020000}"/>
    <cellStyle name="Normal 4 8 2" xfId="887" xr:uid="{00000000-0005-0000-0000-0000D1020000}"/>
    <cellStyle name="Normal 4 8 2 2" xfId="1721" xr:uid="{AFA5AC5B-4514-46A8-8F1F-1E61272721A3}"/>
    <cellStyle name="Normal 4 8 3" xfId="1305" xr:uid="{093F9FF0-2D90-40D2-8FC9-A250C1F4A6AF}"/>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AA0563F4-4735-4F21-8C7D-8C65C90E6662}"/>
    <cellStyle name="Normal 5 2 2 2 2 2 2 3" xfId="1312" xr:uid="{889ADE80-0113-45D5-9B8F-BD240C23BC8A}"/>
    <cellStyle name="Normal 5 2 2 2 2 2 3" xfId="893" xr:uid="{00000000-0005-0000-0000-0000DA020000}"/>
    <cellStyle name="Normal 5 2 2 2 2 2 3 2" xfId="1727" xr:uid="{BD156A45-2BB5-4469-BA6B-65FCAD86592C}"/>
    <cellStyle name="Normal 5 2 2 2 2 2 4" xfId="1311" xr:uid="{E0F50A87-2931-471A-A619-D32EA288D63B}"/>
    <cellStyle name="Normal 5 2 2 2 2 3" xfId="416" xr:uid="{00000000-0005-0000-0000-0000DB020000}"/>
    <cellStyle name="Normal 5 2 2 2 2 3 2" xfId="895" xr:uid="{00000000-0005-0000-0000-0000DC020000}"/>
    <cellStyle name="Normal 5 2 2 2 2 3 2 2" xfId="1729" xr:uid="{736809BB-44A4-4F15-B7DF-97B2753EE942}"/>
    <cellStyle name="Normal 5 2 2 2 2 3 3" xfId="1313" xr:uid="{BB5F78E4-D40E-4C4A-B7E7-8AE8DC0D5DD2}"/>
    <cellStyle name="Normal 5 2 2 2 2 4" xfId="892" xr:uid="{00000000-0005-0000-0000-0000DD020000}"/>
    <cellStyle name="Normal 5 2 2 2 2 4 2" xfId="1726" xr:uid="{0EB2217B-9BF2-40C5-9B1A-E35CEAF151BD}"/>
    <cellStyle name="Normal 5 2 2 2 2 5" xfId="1310" xr:uid="{DAFC57EF-81CD-4206-8341-302019A67EB8}"/>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A7E6B33B-AD44-49A5-B711-B4EBAF4942FC}"/>
    <cellStyle name="Normal 5 2 2 2 3 2 3" xfId="1315" xr:uid="{606E7CFF-5637-4CDB-8066-EC37D493C3CD}"/>
    <cellStyle name="Normal 5 2 2 2 3 3" xfId="896" xr:uid="{00000000-0005-0000-0000-0000E1020000}"/>
    <cellStyle name="Normal 5 2 2 2 3 3 2" xfId="1730" xr:uid="{2421E69C-24A2-48BD-84F3-CB3A61F2F505}"/>
    <cellStyle name="Normal 5 2 2 2 3 4" xfId="1314" xr:uid="{E5179700-089D-435C-B4BE-5423135C5567}"/>
    <cellStyle name="Normal 5 2 2 2 4" xfId="419" xr:uid="{00000000-0005-0000-0000-0000E2020000}"/>
    <cellStyle name="Normal 5 2 2 2 4 2" xfId="898" xr:uid="{00000000-0005-0000-0000-0000E3020000}"/>
    <cellStyle name="Normal 5 2 2 2 4 2 2" xfId="1732" xr:uid="{677ADC8C-5E2A-4605-A028-151A51953CF9}"/>
    <cellStyle name="Normal 5 2 2 2 4 3" xfId="1316" xr:uid="{65F734E9-79EB-4145-8392-12D345FB1C49}"/>
    <cellStyle name="Normal 5 2 2 2 5" xfId="891" xr:uid="{00000000-0005-0000-0000-0000E4020000}"/>
    <cellStyle name="Normal 5 2 2 2 5 2" xfId="1725" xr:uid="{E2C6E1FC-8C22-46AD-B5F1-499E894BAD58}"/>
    <cellStyle name="Normal 5 2 2 2 6" xfId="1309" xr:uid="{5A5571B8-8F37-41B0-8055-D9DED8A3BAF6}"/>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9CFDF86B-0319-434D-8C87-426760411172}"/>
    <cellStyle name="Normal 5 2 2 3 2 2 3" xfId="1319" xr:uid="{8FCCB7D6-4F02-45D3-AE5E-DC6F85235421}"/>
    <cellStyle name="Normal 5 2 2 3 2 3" xfId="900" xr:uid="{00000000-0005-0000-0000-0000E9020000}"/>
    <cellStyle name="Normal 5 2 2 3 2 3 2" xfId="1734" xr:uid="{517A0C13-B293-4177-9054-3F48951A682B}"/>
    <cellStyle name="Normal 5 2 2 3 2 4" xfId="1318" xr:uid="{EB08EE44-45F9-4E95-A031-60A7F77B2062}"/>
    <cellStyle name="Normal 5 2 2 3 3" xfId="423" xr:uid="{00000000-0005-0000-0000-0000EA020000}"/>
    <cellStyle name="Normal 5 2 2 3 3 2" xfId="902" xr:uid="{00000000-0005-0000-0000-0000EB020000}"/>
    <cellStyle name="Normal 5 2 2 3 3 2 2" xfId="1736" xr:uid="{23684C3C-68E8-473C-976C-D46B78E8B96E}"/>
    <cellStyle name="Normal 5 2 2 3 3 3" xfId="1320" xr:uid="{0637AD8D-ED7B-4F13-B5CF-EEC74F762116}"/>
    <cellStyle name="Normal 5 2 2 3 4" xfId="899" xr:uid="{00000000-0005-0000-0000-0000EC020000}"/>
    <cellStyle name="Normal 5 2 2 3 4 2" xfId="1733" xr:uid="{C778883B-BCEB-43F1-958F-4770EB69E36A}"/>
    <cellStyle name="Normal 5 2 2 3 5" xfId="1317" xr:uid="{44DECD3B-F17E-4D01-A169-BA4CBE8FB0EA}"/>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9AC07DDC-7E28-4E6A-9CD9-320B04435A15}"/>
    <cellStyle name="Normal 5 2 2 4 2 3" xfId="1322" xr:uid="{9457BB88-4CAF-4F53-BA9A-801E63D0118C}"/>
    <cellStyle name="Normal 5 2 2 4 3" xfId="903" xr:uid="{00000000-0005-0000-0000-0000F0020000}"/>
    <cellStyle name="Normal 5 2 2 4 3 2" xfId="1737" xr:uid="{1B36EEAA-F36C-450A-815E-C27914FFCA19}"/>
    <cellStyle name="Normal 5 2 2 4 4" xfId="1321" xr:uid="{92FAA613-9B42-4535-A4A7-3521B4CA52F6}"/>
    <cellStyle name="Normal 5 2 2 5" xfId="426" xr:uid="{00000000-0005-0000-0000-0000F1020000}"/>
    <cellStyle name="Normal 5 2 2 5 2" xfId="905" xr:uid="{00000000-0005-0000-0000-0000F2020000}"/>
    <cellStyle name="Normal 5 2 2 5 2 2" xfId="1739" xr:uid="{5D507270-B2E4-4B37-B180-3EA8434668C7}"/>
    <cellStyle name="Normal 5 2 2 5 3" xfId="1323" xr:uid="{EC4CFB8E-A2FC-4F15-9C78-2EB4162BCACA}"/>
    <cellStyle name="Normal 5 2 2 6" xfId="890" xr:uid="{00000000-0005-0000-0000-0000F3020000}"/>
    <cellStyle name="Normal 5 2 2 6 2" xfId="1724" xr:uid="{DD784EEA-A08B-495D-978C-62917C6D6F13}"/>
    <cellStyle name="Normal 5 2 2 7" xfId="1308" xr:uid="{72F80BF7-ACBA-4604-85B6-0B552037ECBE}"/>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6886F707-F9C8-4EA3-9B8E-47F877A1FD3A}"/>
    <cellStyle name="Normal 5 2 3 2 2 2 3" xfId="1327" xr:uid="{7C5E842D-C977-492A-BEDE-011C8769696F}"/>
    <cellStyle name="Normal 5 2 3 2 2 3" xfId="908" xr:uid="{00000000-0005-0000-0000-0000F9020000}"/>
    <cellStyle name="Normal 5 2 3 2 2 3 2" xfId="1742" xr:uid="{DBA62989-A780-464A-916C-8F3712087342}"/>
    <cellStyle name="Normal 5 2 3 2 2 4" xfId="1326" xr:uid="{8B3522F3-E0E8-49C4-A366-0018E81B864A}"/>
    <cellStyle name="Normal 5 2 3 2 3" xfId="431" xr:uid="{00000000-0005-0000-0000-0000FA020000}"/>
    <cellStyle name="Normal 5 2 3 2 3 2" xfId="910" xr:uid="{00000000-0005-0000-0000-0000FB020000}"/>
    <cellStyle name="Normal 5 2 3 2 3 2 2" xfId="1744" xr:uid="{91DB9243-3806-4D45-928B-29751B13FED9}"/>
    <cellStyle name="Normal 5 2 3 2 3 3" xfId="1328" xr:uid="{BE1D18D7-EC2F-43EB-8E3E-884C3CF5FDA5}"/>
    <cellStyle name="Normal 5 2 3 2 4" xfId="907" xr:uid="{00000000-0005-0000-0000-0000FC020000}"/>
    <cellStyle name="Normal 5 2 3 2 4 2" xfId="1741" xr:uid="{C93D4672-0F58-4E0F-A33F-5EFC34C1055F}"/>
    <cellStyle name="Normal 5 2 3 2 5" xfId="1325" xr:uid="{37808DFB-717A-4F0F-8840-12B1F01DD500}"/>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2AFC83AD-AB49-4322-B643-0984F950FC4B}"/>
    <cellStyle name="Normal 5 2 3 3 2 3" xfId="1330" xr:uid="{8CBF4C08-D731-4F12-9F20-FA22E50199BA}"/>
    <cellStyle name="Normal 5 2 3 3 3" xfId="911" xr:uid="{00000000-0005-0000-0000-000000030000}"/>
    <cellStyle name="Normal 5 2 3 3 3 2" xfId="1745" xr:uid="{1F080928-3884-4E65-BE40-B605548C47FE}"/>
    <cellStyle name="Normal 5 2 3 3 4" xfId="1329" xr:uid="{4C5FEA2D-BC00-4610-A657-A25883F3EC57}"/>
    <cellStyle name="Normal 5 2 3 4" xfId="434" xr:uid="{00000000-0005-0000-0000-000001030000}"/>
    <cellStyle name="Normal 5 2 3 4 2" xfId="913" xr:uid="{00000000-0005-0000-0000-000002030000}"/>
    <cellStyle name="Normal 5 2 3 4 2 2" xfId="1747" xr:uid="{46CE920F-2AC6-46AE-B04A-F67C963CE769}"/>
    <cellStyle name="Normal 5 2 3 4 3" xfId="1331" xr:uid="{22E4F802-3779-47A4-A32B-32BD57D8186B}"/>
    <cellStyle name="Normal 5 2 3 5" xfId="906" xr:uid="{00000000-0005-0000-0000-000003030000}"/>
    <cellStyle name="Normal 5 2 3 5 2" xfId="1740" xr:uid="{5A48D78C-59FA-43A4-BE3B-DBDA84F513A6}"/>
    <cellStyle name="Normal 5 2 3 6" xfId="1324" xr:uid="{AB1ADF2D-71DB-4A4D-ADF7-C59E948BB096}"/>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E51EEDC7-A724-4484-B481-AA6DB13860FB}"/>
    <cellStyle name="Normal 5 2 4 2 2 3" xfId="1334" xr:uid="{C3177582-6317-4099-94AA-2AF20AF21938}"/>
    <cellStyle name="Normal 5 2 4 2 3" xfId="915" xr:uid="{00000000-0005-0000-0000-000008030000}"/>
    <cellStyle name="Normal 5 2 4 2 3 2" xfId="1749" xr:uid="{D5CC837D-057F-4C77-BFF9-7EB1C460EAD6}"/>
    <cellStyle name="Normal 5 2 4 2 4" xfId="1333" xr:uid="{6CECF09B-9514-49EC-A51D-0674A46E3685}"/>
    <cellStyle name="Normal 5 2 4 3" xfId="438" xr:uid="{00000000-0005-0000-0000-000009030000}"/>
    <cellStyle name="Normal 5 2 4 3 2" xfId="917" xr:uid="{00000000-0005-0000-0000-00000A030000}"/>
    <cellStyle name="Normal 5 2 4 3 2 2" xfId="1751" xr:uid="{61D6F08E-5262-43C0-B94C-EEA7886630ED}"/>
    <cellStyle name="Normal 5 2 4 3 3" xfId="1335" xr:uid="{B7CB78C2-2306-40D9-AED0-EA5F5B953DED}"/>
    <cellStyle name="Normal 5 2 4 4" xfId="914" xr:uid="{00000000-0005-0000-0000-00000B030000}"/>
    <cellStyle name="Normal 5 2 4 4 2" xfId="1748" xr:uid="{1F78431C-B524-4E98-BF11-1E6A8EC0E019}"/>
    <cellStyle name="Normal 5 2 4 5" xfId="1332" xr:uid="{B38B7820-37FC-4260-801F-05E7D83C43BC}"/>
    <cellStyle name="Normal 5 2 5" xfId="439" xr:uid="{00000000-0005-0000-0000-00000C030000}"/>
    <cellStyle name="Normal 5 2 5 2" xfId="440" xr:uid="{00000000-0005-0000-0000-00000D030000}"/>
    <cellStyle name="Normal 5 2 5 2 2" xfId="919" xr:uid="{00000000-0005-0000-0000-00000E030000}"/>
    <cellStyle name="Normal 5 2 5 2 2 2" xfId="1753" xr:uid="{1C7848E8-493C-4B82-A4CE-19ACF37539B8}"/>
    <cellStyle name="Normal 5 2 5 2 3" xfId="1337" xr:uid="{32E75BAE-8A8C-47A6-96E0-0831A77BCD83}"/>
    <cellStyle name="Normal 5 2 5 3" xfId="918" xr:uid="{00000000-0005-0000-0000-00000F030000}"/>
    <cellStyle name="Normal 5 2 5 3 2" xfId="1752" xr:uid="{047D0503-B9DA-471F-9396-6F106827B9A7}"/>
    <cellStyle name="Normal 5 2 5 4" xfId="1336" xr:uid="{9988049B-C177-4D3C-9999-5E2CF222E1FE}"/>
    <cellStyle name="Normal 5 2 6" xfId="441" xr:uid="{00000000-0005-0000-0000-000010030000}"/>
    <cellStyle name="Normal 5 2 6 2" xfId="920" xr:uid="{00000000-0005-0000-0000-000011030000}"/>
    <cellStyle name="Normal 5 2 6 2 2" xfId="1754" xr:uid="{50866BBC-13A6-49B3-875F-2319F9C2AE88}"/>
    <cellStyle name="Normal 5 2 6 3" xfId="1338" xr:uid="{8B7C4ABC-2FB2-40E4-8F9D-401B443230C7}"/>
    <cellStyle name="Normal 5 2 7" xfId="889" xr:uid="{00000000-0005-0000-0000-000012030000}"/>
    <cellStyle name="Normal 5 2 7 2" xfId="1723" xr:uid="{9FC57E49-3139-4F29-998B-3304047EB2EE}"/>
    <cellStyle name="Normal 5 2 8" xfId="1307" xr:uid="{0C1685F0-B083-4393-A98A-D45F967BE61A}"/>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EFEB251E-1826-42AE-91F0-EB4CD01F6D95}"/>
    <cellStyle name="Normal 5 3 3 2 2 2 3" xfId="1343" xr:uid="{6DD58284-CC55-49D8-B901-2510F6851E98}"/>
    <cellStyle name="Normal 5 3 3 2 2 3" xfId="925" xr:uid="{00000000-0005-0000-0000-00001B030000}"/>
    <cellStyle name="Normal 5 3 3 2 2 3 2" xfId="1758" xr:uid="{A8F0FADA-1086-4F1B-B9E1-3CAE048B7A1C}"/>
    <cellStyle name="Normal 5 3 3 2 2 4" xfId="1342" xr:uid="{D63A5A35-9449-4650-8679-5F4B7340BF82}"/>
    <cellStyle name="Normal 5 3 3 2 3" xfId="448" xr:uid="{00000000-0005-0000-0000-00001C030000}"/>
    <cellStyle name="Normal 5 3 3 2 3 2" xfId="927" xr:uid="{00000000-0005-0000-0000-00001D030000}"/>
    <cellStyle name="Normal 5 3 3 2 3 2 2" xfId="1760" xr:uid="{9696428D-7BFE-4EBD-A27E-488F5CF458E9}"/>
    <cellStyle name="Normal 5 3 3 2 3 3" xfId="1344" xr:uid="{7D4E8F1E-7994-4ACC-B3E5-C38B43525A2A}"/>
    <cellStyle name="Normal 5 3 3 2 4" xfId="924" xr:uid="{00000000-0005-0000-0000-00001E030000}"/>
    <cellStyle name="Normal 5 3 3 2 4 2" xfId="1757" xr:uid="{FA97B622-336B-4AE6-BCF7-DD9D5D54D885}"/>
    <cellStyle name="Normal 5 3 3 2 5" xfId="1341" xr:uid="{D90B0254-9214-4749-B72F-82EAF594E3A6}"/>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DA3E2C8A-D814-4960-9B18-9E4207082803}"/>
    <cellStyle name="Normal 5 3 3 3 2 3" xfId="1346" xr:uid="{9E7A9133-8FF0-4673-91EC-291B107FFA65}"/>
    <cellStyle name="Normal 5 3 3 3 3" xfId="928" xr:uid="{00000000-0005-0000-0000-000022030000}"/>
    <cellStyle name="Normal 5 3 3 3 3 2" xfId="1761" xr:uid="{B1F45328-E1AD-48A5-92B3-FACCD99A2F21}"/>
    <cellStyle name="Normal 5 3 3 3 4" xfId="1345" xr:uid="{83F0165E-8EF8-480D-B556-D15F2D28C12E}"/>
    <cellStyle name="Normal 5 3 3 4" xfId="451" xr:uid="{00000000-0005-0000-0000-000023030000}"/>
    <cellStyle name="Normal 5 3 3 4 2" xfId="930" xr:uid="{00000000-0005-0000-0000-000024030000}"/>
    <cellStyle name="Normal 5 3 3 4 2 2" xfId="1763" xr:uid="{59B259AB-4848-44BC-BAEE-53C5A885FBB5}"/>
    <cellStyle name="Normal 5 3 3 4 3" xfId="1347" xr:uid="{6E9F2C22-88F7-42AC-96E6-14F1DD623FC4}"/>
    <cellStyle name="Normal 5 3 3 5" xfId="923" xr:uid="{00000000-0005-0000-0000-000025030000}"/>
    <cellStyle name="Normal 5 3 3 5 2" xfId="1756" xr:uid="{C923CDE7-E95B-44A2-BF3F-4EED2FBDC186}"/>
    <cellStyle name="Normal 5 3 3 6" xfId="1340" xr:uid="{80E94B19-3FEE-4BAA-9F29-B02B812D439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20D8257F-5287-4EFB-9E02-88F2EC421384}"/>
    <cellStyle name="Normal 5 3 4 2 2 3" xfId="1350" xr:uid="{D8C79D09-9C78-4FE9-BD21-C9E2AEA04BF5}"/>
    <cellStyle name="Normal 5 3 4 2 3" xfId="932" xr:uid="{00000000-0005-0000-0000-00002A030000}"/>
    <cellStyle name="Normal 5 3 4 2 3 2" xfId="1765" xr:uid="{F2E3BBFE-E120-48AA-8E53-4FA1DB03D727}"/>
    <cellStyle name="Normal 5 3 4 2 4" xfId="1349" xr:uid="{5B0AAAE0-1B13-400D-9D42-26B7CA4E8075}"/>
    <cellStyle name="Normal 5 3 4 3" xfId="455" xr:uid="{00000000-0005-0000-0000-00002B030000}"/>
    <cellStyle name="Normal 5 3 4 3 2" xfId="934" xr:uid="{00000000-0005-0000-0000-00002C030000}"/>
    <cellStyle name="Normal 5 3 4 3 2 2" xfId="1767" xr:uid="{1858A254-DB11-499C-B396-5B54F7E7E929}"/>
    <cellStyle name="Normal 5 3 4 3 3" xfId="1351" xr:uid="{2CBB3307-3102-4B67-9D74-7090DA672E2A}"/>
    <cellStyle name="Normal 5 3 4 4" xfId="931" xr:uid="{00000000-0005-0000-0000-00002D030000}"/>
    <cellStyle name="Normal 5 3 4 4 2" xfId="1764" xr:uid="{6BF7EFA8-B380-4715-94B9-AB4F5F36D6C4}"/>
    <cellStyle name="Normal 5 3 4 5" xfId="1348" xr:uid="{C5FAE35B-6F27-45EC-8BF8-A4AA44934586}"/>
    <cellStyle name="Normal 5 3 5" xfId="456" xr:uid="{00000000-0005-0000-0000-00002E030000}"/>
    <cellStyle name="Normal 5 3 5 2" xfId="457" xr:uid="{00000000-0005-0000-0000-00002F030000}"/>
    <cellStyle name="Normal 5 3 5 2 2" xfId="936" xr:uid="{00000000-0005-0000-0000-000030030000}"/>
    <cellStyle name="Normal 5 3 5 2 2 2" xfId="1769" xr:uid="{5E1822B2-16F8-480B-885B-9460B8CD3B59}"/>
    <cellStyle name="Normal 5 3 5 2 3" xfId="1353" xr:uid="{036590D0-04FF-417F-AF67-5848D12DE185}"/>
    <cellStyle name="Normal 5 3 5 3" xfId="935" xr:uid="{00000000-0005-0000-0000-000031030000}"/>
    <cellStyle name="Normal 5 3 5 3 2" xfId="1768" xr:uid="{D4FEC2BA-5492-4CA8-BAD2-DCD1D9F34570}"/>
    <cellStyle name="Normal 5 3 5 4" xfId="1352" xr:uid="{7CBE3441-5B6C-44F8-9074-7994C7C01ABF}"/>
    <cellStyle name="Normal 5 3 6" xfId="458" xr:uid="{00000000-0005-0000-0000-000032030000}"/>
    <cellStyle name="Normal 5 3 6 2" xfId="937" xr:uid="{00000000-0005-0000-0000-000033030000}"/>
    <cellStyle name="Normal 5 3 6 2 2" xfId="1770" xr:uid="{D32E7FCD-7DB9-4474-89BB-F7F17B77DA05}"/>
    <cellStyle name="Normal 5 3 6 3" xfId="1354" xr:uid="{6D17555A-255F-4EEB-B44C-E7B9C802DE4B}"/>
    <cellStyle name="Normal 5 3 7" xfId="921" xr:uid="{00000000-0005-0000-0000-000034030000}"/>
    <cellStyle name="Normal 5 3 7 2" xfId="1755" xr:uid="{4726DFBE-7291-4A03-A103-DAB10270A877}"/>
    <cellStyle name="Normal 5 3 8" xfId="1339" xr:uid="{410EC5C5-C78D-4585-8F49-4E2191B8CD7B}"/>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CD69D1F2-3EC3-4F5E-B00F-6BFEF3241EA6}"/>
    <cellStyle name="Normal 5 4 2 2 2 3" xfId="1358" xr:uid="{2CA439AB-94F9-4006-8151-7E2A57E9F8DA}"/>
    <cellStyle name="Normal 5 4 2 2 3" xfId="940" xr:uid="{00000000-0005-0000-0000-00003A030000}"/>
    <cellStyle name="Normal 5 4 2 2 3 2" xfId="1773" xr:uid="{F6DABE4D-B050-4BF7-B2D0-F00B3A0B94D2}"/>
    <cellStyle name="Normal 5 4 2 2 4" xfId="1357" xr:uid="{E37754C7-5E39-489F-92E6-89B98228C034}"/>
    <cellStyle name="Normal 5 4 2 3" xfId="463" xr:uid="{00000000-0005-0000-0000-00003B030000}"/>
    <cellStyle name="Normal 5 4 2 3 2" xfId="942" xr:uid="{00000000-0005-0000-0000-00003C030000}"/>
    <cellStyle name="Normal 5 4 2 3 2 2" xfId="1775" xr:uid="{A4E70599-A56F-4C7C-94B4-DD6546C0EA6F}"/>
    <cellStyle name="Normal 5 4 2 3 3" xfId="1359" xr:uid="{EEEE5B56-5196-4AEE-A6AD-B2C8C4D5145E}"/>
    <cellStyle name="Normal 5 4 2 4" xfId="939" xr:uid="{00000000-0005-0000-0000-00003D030000}"/>
    <cellStyle name="Normal 5 4 2 4 2" xfId="1772" xr:uid="{C5BE1528-D55F-44F9-B316-FD755AC3DFA2}"/>
    <cellStyle name="Normal 5 4 2 5" xfId="1356" xr:uid="{72C97EE5-BC3A-4726-9D99-4BBCBCAC6158}"/>
    <cellStyle name="Normal 5 4 3" xfId="464" xr:uid="{00000000-0005-0000-0000-00003E030000}"/>
    <cellStyle name="Normal 5 4 3 2" xfId="465" xr:uid="{00000000-0005-0000-0000-00003F030000}"/>
    <cellStyle name="Normal 5 4 3 2 2" xfId="944" xr:uid="{00000000-0005-0000-0000-000040030000}"/>
    <cellStyle name="Normal 5 4 3 2 2 2" xfId="1777" xr:uid="{75C3D9CB-8674-43C7-9DF8-D15854B9283C}"/>
    <cellStyle name="Normal 5 4 3 2 3" xfId="1361" xr:uid="{2AD2D3F0-C6F0-471A-9346-4A8663A27C41}"/>
    <cellStyle name="Normal 5 4 3 3" xfId="943" xr:uid="{00000000-0005-0000-0000-000041030000}"/>
    <cellStyle name="Normal 5 4 3 3 2" xfId="1776" xr:uid="{B46D45DD-C49F-40BB-A741-4AF6DB69C6A2}"/>
    <cellStyle name="Normal 5 4 3 4" xfId="1360" xr:uid="{66BB93B9-98E9-4B57-BB40-F7D21F2B9162}"/>
    <cellStyle name="Normal 5 4 4" xfId="466" xr:uid="{00000000-0005-0000-0000-000042030000}"/>
    <cellStyle name="Normal 5 4 4 2" xfId="945" xr:uid="{00000000-0005-0000-0000-000043030000}"/>
    <cellStyle name="Normal 5 4 4 2 2" xfId="1778" xr:uid="{D44E86C4-B143-49B0-A720-892B2EFD9501}"/>
    <cellStyle name="Normal 5 4 4 3" xfId="1362" xr:uid="{87DCFF58-9B1A-46C5-8642-78D8591D3285}"/>
    <cellStyle name="Normal 5 4 5" xfId="938" xr:uid="{00000000-0005-0000-0000-000044030000}"/>
    <cellStyle name="Normal 5 4 5 2" xfId="1771" xr:uid="{1F4C87EF-4151-4C37-8BCD-B91D9AC9B8EC}"/>
    <cellStyle name="Normal 5 4 6" xfId="1355" xr:uid="{E91AE20A-6B8A-4174-8979-058DE55C0312}"/>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23D130EF-8B51-44BC-ABDB-376C349F980B}"/>
    <cellStyle name="Normal 5 5 2 2 3" xfId="1365" xr:uid="{C3619FF4-94BD-49B8-BCCE-7266FE63B357}"/>
    <cellStyle name="Normal 5 5 2 3" xfId="947" xr:uid="{00000000-0005-0000-0000-000049030000}"/>
    <cellStyle name="Normal 5 5 2 3 2" xfId="1780" xr:uid="{CEC0BA28-8A73-43DA-95BF-D5539CDC02F5}"/>
    <cellStyle name="Normal 5 5 2 4" xfId="1364" xr:uid="{8D3D01A7-73D4-4924-8AC9-03766FFA82C2}"/>
    <cellStyle name="Normal 5 5 3" xfId="470" xr:uid="{00000000-0005-0000-0000-00004A030000}"/>
    <cellStyle name="Normal 5 5 3 2" xfId="949" xr:uid="{00000000-0005-0000-0000-00004B030000}"/>
    <cellStyle name="Normal 5 5 3 2 2" xfId="1782" xr:uid="{4BA3BE39-44D1-4571-9996-020A4A3A9751}"/>
    <cellStyle name="Normal 5 5 3 3" xfId="1366" xr:uid="{4FA97593-BC51-4175-B3D4-0300AC171E3B}"/>
    <cellStyle name="Normal 5 5 4" xfId="946" xr:uid="{00000000-0005-0000-0000-00004C030000}"/>
    <cellStyle name="Normal 5 5 4 2" xfId="1779" xr:uid="{A1E7818F-0CC6-48E9-BD99-99721BEF31EF}"/>
    <cellStyle name="Normal 5 5 5" xfId="1363" xr:uid="{7D91DEAC-BB26-4AD6-B740-4873864B1197}"/>
    <cellStyle name="Normal 5 6" xfId="471" xr:uid="{00000000-0005-0000-0000-00004D030000}"/>
    <cellStyle name="Normal 5 6 2" xfId="472" xr:uid="{00000000-0005-0000-0000-00004E030000}"/>
    <cellStyle name="Normal 5 6 2 2" xfId="951" xr:uid="{00000000-0005-0000-0000-00004F030000}"/>
    <cellStyle name="Normal 5 6 2 2 2" xfId="1784" xr:uid="{CA76567C-B8B9-4353-BAF1-B63CA77E2866}"/>
    <cellStyle name="Normal 5 6 2 3" xfId="1368" xr:uid="{AC85870F-1839-45A7-B023-D5F8EA66BA3E}"/>
    <cellStyle name="Normal 5 6 3" xfId="950" xr:uid="{00000000-0005-0000-0000-000050030000}"/>
    <cellStyle name="Normal 5 6 3 2" xfId="1783" xr:uid="{5F96583E-94EF-429A-8076-6D48572CD813}"/>
    <cellStyle name="Normal 5 6 4" xfId="1367" xr:uid="{D45B8BB7-80F0-4A68-800B-04F828532C9F}"/>
    <cellStyle name="Normal 5 7" xfId="473" xr:uid="{00000000-0005-0000-0000-000051030000}"/>
    <cellStyle name="Normal 5 7 2" xfId="952" xr:uid="{00000000-0005-0000-0000-000052030000}"/>
    <cellStyle name="Normal 5 7 2 2" xfId="1785" xr:uid="{060509F6-E1CE-4D5E-8490-5E41497CE37D}"/>
    <cellStyle name="Normal 5 7 3" xfId="1369" xr:uid="{C35E5E24-326F-4354-B1BC-1CC563C4F6BF}"/>
    <cellStyle name="Normal 5 8" xfId="888" xr:uid="{00000000-0005-0000-0000-000053030000}"/>
    <cellStyle name="Normal 5 8 2" xfId="1722" xr:uid="{AFBC9112-AF33-493F-80BA-63F703436821}"/>
    <cellStyle name="Normal 5 9" xfId="1306" xr:uid="{0930D7A4-3066-4EBA-8793-4DED3F430C1A}"/>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567915D8-92FB-4870-B053-C152F77C8D1D}"/>
    <cellStyle name="Normal 8 2 2 2 2 2 3" xfId="1375" xr:uid="{7DFDE8C2-27C5-4DC9-A833-28F490FED559}"/>
    <cellStyle name="Normal 8 2 2 2 2 3" xfId="957" xr:uid="{00000000-0005-0000-0000-000062030000}"/>
    <cellStyle name="Normal 8 2 2 2 2 3 2" xfId="1790" xr:uid="{2C4124A4-F933-4724-BEB3-C9D07CFD1D3B}"/>
    <cellStyle name="Normal 8 2 2 2 2 4" xfId="1374" xr:uid="{DE4F7EBB-A924-4A56-9DBF-5FD8635EAEEC}"/>
    <cellStyle name="Normal 8 2 2 2 3" xfId="487" xr:uid="{00000000-0005-0000-0000-000063030000}"/>
    <cellStyle name="Normal 8 2 2 2 3 2" xfId="959" xr:uid="{00000000-0005-0000-0000-000064030000}"/>
    <cellStyle name="Normal 8 2 2 2 3 2 2" xfId="1792" xr:uid="{E8081429-2514-4F1E-9F0A-ECCBF4B37B03}"/>
    <cellStyle name="Normal 8 2 2 2 3 3" xfId="1376" xr:uid="{24560E2B-5EBF-4FE2-8EF5-CAA0107173A6}"/>
    <cellStyle name="Normal 8 2 2 2 4" xfId="956" xr:uid="{00000000-0005-0000-0000-000065030000}"/>
    <cellStyle name="Normal 8 2 2 2 4 2" xfId="1789" xr:uid="{A3595D03-21FD-4684-A6B4-189882B35F5B}"/>
    <cellStyle name="Normal 8 2 2 2 5" xfId="1373" xr:uid="{92966577-97B5-4118-B200-06C89F62D8E5}"/>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31058FE6-50BE-467C-9933-FB26BDAF2DF5}"/>
    <cellStyle name="Normal 8 2 2 3 2 3" xfId="1378" xr:uid="{26BA8054-62DA-4F3E-82CC-4A7970D6AACA}"/>
    <cellStyle name="Normal 8 2 2 3 3" xfId="960" xr:uid="{00000000-0005-0000-0000-000069030000}"/>
    <cellStyle name="Normal 8 2 2 3 3 2" xfId="1793" xr:uid="{B0FA511E-99BA-48D2-871E-955C61B4A198}"/>
    <cellStyle name="Normal 8 2 2 3 4" xfId="1377" xr:uid="{32758EBE-D9F0-4A4C-BF89-B8E12CCB8A14}"/>
    <cellStyle name="Normal 8 2 2 4" xfId="490" xr:uid="{00000000-0005-0000-0000-00006A030000}"/>
    <cellStyle name="Normal 8 2 2 4 2" xfId="962" xr:uid="{00000000-0005-0000-0000-00006B030000}"/>
    <cellStyle name="Normal 8 2 2 4 2 2" xfId="1795" xr:uid="{F6FDF41A-5D18-4009-8361-27027C1DFB5A}"/>
    <cellStyle name="Normal 8 2 2 4 3" xfId="1379" xr:uid="{0AFA0E32-40E3-4721-A128-A5A1A72C6498}"/>
    <cellStyle name="Normal 8 2 2 5" xfId="955" xr:uid="{00000000-0005-0000-0000-00006C030000}"/>
    <cellStyle name="Normal 8 2 2 5 2" xfId="1788" xr:uid="{F719BBC7-F7A1-407C-BEEF-B6A9DBBA17CC}"/>
    <cellStyle name="Normal 8 2 2 6" xfId="1372" xr:uid="{A8D85224-B2F0-4F67-B0DF-E859554416A9}"/>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355B17A9-9FBE-41D2-AFFB-01EFAE9BB629}"/>
    <cellStyle name="Normal 8 2 3 2 2 3" xfId="1382" xr:uid="{5EAA26F5-260A-4A6C-9726-983B525DB0B1}"/>
    <cellStyle name="Normal 8 2 3 2 3" xfId="964" xr:uid="{00000000-0005-0000-0000-000071030000}"/>
    <cellStyle name="Normal 8 2 3 2 3 2" xfId="1797" xr:uid="{9638152A-7E0E-4D70-9750-E7D3C6A818B8}"/>
    <cellStyle name="Normal 8 2 3 2 4" xfId="1381" xr:uid="{8C2448E9-AB17-4462-AEC7-3074956F13E3}"/>
    <cellStyle name="Normal 8 2 3 3" xfId="494" xr:uid="{00000000-0005-0000-0000-000072030000}"/>
    <cellStyle name="Normal 8 2 3 3 2" xfId="966" xr:uid="{00000000-0005-0000-0000-000073030000}"/>
    <cellStyle name="Normal 8 2 3 3 2 2" xfId="1799" xr:uid="{A8DA3F74-8156-4DFF-A7F3-D990A864678A}"/>
    <cellStyle name="Normal 8 2 3 3 3" xfId="1383" xr:uid="{3906C01E-71FB-4687-8CB4-45DFED4D5AEA}"/>
    <cellStyle name="Normal 8 2 3 4" xfId="963" xr:uid="{00000000-0005-0000-0000-000074030000}"/>
    <cellStyle name="Normal 8 2 3 4 2" xfId="1796" xr:uid="{EA445338-653E-4C3D-A613-D2D4C6C782C9}"/>
    <cellStyle name="Normal 8 2 3 5" xfId="1380" xr:uid="{AC8D6B5A-DC89-49EC-BE93-3605D747AED4}"/>
    <cellStyle name="Normal 8 2 4" xfId="495" xr:uid="{00000000-0005-0000-0000-000075030000}"/>
    <cellStyle name="Normal 8 2 4 2" xfId="496" xr:uid="{00000000-0005-0000-0000-000076030000}"/>
    <cellStyle name="Normal 8 2 4 2 2" xfId="968" xr:uid="{00000000-0005-0000-0000-000077030000}"/>
    <cellStyle name="Normal 8 2 4 2 2 2" xfId="1801" xr:uid="{E55BAEB1-923B-4331-B03A-6741AC89F78C}"/>
    <cellStyle name="Normal 8 2 4 2 3" xfId="1385" xr:uid="{20DC473D-B193-4F6B-A047-6187B59CDBBE}"/>
    <cellStyle name="Normal 8 2 4 3" xfId="967" xr:uid="{00000000-0005-0000-0000-000078030000}"/>
    <cellStyle name="Normal 8 2 4 3 2" xfId="1800" xr:uid="{BC217C5A-FD8A-47B6-98C6-9EF0AEA75B22}"/>
    <cellStyle name="Normal 8 2 4 4" xfId="1384" xr:uid="{AC681AF3-BA91-4845-9EA2-6C7616E21ABF}"/>
    <cellStyle name="Normal 8 2 5" xfId="497" xr:uid="{00000000-0005-0000-0000-000079030000}"/>
    <cellStyle name="Normal 8 2 5 2" xfId="969" xr:uid="{00000000-0005-0000-0000-00007A030000}"/>
    <cellStyle name="Normal 8 2 5 2 2" xfId="1802" xr:uid="{618CB572-7CDA-44DC-A0C2-28178AAAF871}"/>
    <cellStyle name="Normal 8 2 5 3" xfId="1386" xr:uid="{4E42E6A1-E1DD-44B4-8338-0E1E0067A6C2}"/>
    <cellStyle name="Normal 8 2 6" xfId="954" xr:uid="{00000000-0005-0000-0000-00007B030000}"/>
    <cellStyle name="Normal 8 2 6 2" xfId="1787" xr:uid="{D6BE0F74-83FA-443D-9940-2F5AF81E21C6}"/>
    <cellStyle name="Normal 8 2 7" xfId="1371" xr:uid="{DE5D584B-5B46-4D0F-BE0D-DAACB6BA39CB}"/>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4E7344BF-B2DC-4824-B691-273993AC074D}"/>
    <cellStyle name="Normal 8 3 2 2 2 3" xfId="1390" xr:uid="{01F5934F-6AD0-4408-9E45-2F9980FCC758}"/>
    <cellStyle name="Normal 8 3 2 2 3" xfId="972" xr:uid="{00000000-0005-0000-0000-000081030000}"/>
    <cellStyle name="Normal 8 3 2 2 3 2" xfId="1805" xr:uid="{CD150103-6FE7-44FC-B958-5B8C44D9C331}"/>
    <cellStyle name="Normal 8 3 2 2 4" xfId="1389" xr:uid="{FBE1331B-7490-4CBB-8FD3-FF453390EE3D}"/>
    <cellStyle name="Normal 8 3 2 3" xfId="502" xr:uid="{00000000-0005-0000-0000-000082030000}"/>
    <cellStyle name="Normal 8 3 2 3 2" xfId="974" xr:uid="{00000000-0005-0000-0000-000083030000}"/>
    <cellStyle name="Normal 8 3 2 3 2 2" xfId="1807" xr:uid="{B211A02E-20A3-441C-B99B-4143DDACE591}"/>
    <cellStyle name="Normal 8 3 2 3 3" xfId="1391" xr:uid="{D7B98471-B645-42CE-93C6-C0831023EE01}"/>
    <cellStyle name="Normal 8 3 2 4" xfId="971" xr:uid="{00000000-0005-0000-0000-000084030000}"/>
    <cellStyle name="Normal 8 3 2 4 2" xfId="1804" xr:uid="{BF7811B0-3261-456E-9A4B-42C6B7B2E146}"/>
    <cellStyle name="Normal 8 3 2 5" xfId="1388" xr:uid="{94A177EB-18FF-400E-AAC7-62F3CC7FB891}"/>
    <cellStyle name="Normal 8 3 3" xfId="503" xr:uid="{00000000-0005-0000-0000-000085030000}"/>
    <cellStyle name="Normal 8 3 3 2" xfId="504" xr:uid="{00000000-0005-0000-0000-000086030000}"/>
    <cellStyle name="Normal 8 3 3 2 2" xfId="976" xr:uid="{00000000-0005-0000-0000-000087030000}"/>
    <cellStyle name="Normal 8 3 3 2 2 2" xfId="1809" xr:uid="{59B7F31C-B84D-4922-9391-F8EA4F47989A}"/>
    <cellStyle name="Normal 8 3 3 2 3" xfId="1393" xr:uid="{D928F399-49D2-465B-BE46-C76E9E0A9B71}"/>
    <cellStyle name="Normal 8 3 3 3" xfId="975" xr:uid="{00000000-0005-0000-0000-000088030000}"/>
    <cellStyle name="Normal 8 3 3 3 2" xfId="1808" xr:uid="{9EC8E757-82A7-4440-85A1-A52B064262A2}"/>
    <cellStyle name="Normal 8 3 3 4" xfId="1392" xr:uid="{5761E08B-A03A-4A02-BE51-2DB6939B87D2}"/>
    <cellStyle name="Normal 8 3 4" xfId="505" xr:uid="{00000000-0005-0000-0000-000089030000}"/>
    <cellStyle name="Normal 8 3 4 2" xfId="977" xr:uid="{00000000-0005-0000-0000-00008A030000}"/>
    <cellStyle name="Normal 8 3 4 2 2" xfId="1810" xr:uid="{92DBA49E-7801-495C-945D-033122D0A903}"/>
    <cellStyle name="Normal 8 3 4 3" xfId="1394" xr:uid="{5374580D-8356-4D28-B673-EA5A1EDBB021}"/>
    <cellStyle name="Normal 8 3 5" xfId="970" xr:uid="{00000000-0005-0000-0000-00008B030000}"/>
    <cellStyle name="Normal 8 3 5 2" xfId="1803" xr:uid="{11FD1E20-9C7E-4A12-9CEE-46FCF1049668}"/>
    <cellStyle name="Normal 8 3 6" xfId="1387" xr:uid="{AB3C9D57-F3E0-45BB-92EF-48C8C1222E73}"/>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03C22A6A-C132-49FA-BE4B-211A1D4447A1}"/>
    <cellStyle name="Normal 8 4 2 2 3" xfId="1397" xr:uid="{89807404-0A2A-4571-93DB-F2FB0CB02465}"/>
    <cellStyle name="Normal 8 4 2 3" xfId="979" xr:uid="{00000000-0005-0000-0000-000090030000}"/>
    <cellStyle name="Normal 8 4 2 3 2" xfId="1812" xr:uid="{378F2621-65FE-4979-AA23-8D52391B0586}"/>
    <cellStyle name="Normal 8 4 2 4" xfId="1396" xr:uid="{9EF57A5D-845F-4B9B-9ED0-A7DBFFFBAE1A}"/>
    <cellStyle name="Normal 8 4 3" xfId="509" xr:uid="{00000000-0005-0000-0000-000091030000}"/>
    <cellStyle name="Normal 8 4 3 2" xfId="981" xr:uid="{00000000-0005-0000-0000-000092030000}"/>
    <cellStyle name="Normal 8 4 3 2 2" xfId="1814" xr:uid="{827C1281-AE6A-4A99-B5B5-7BAE9372B233}"/>
    <cellStyle name="Normal 8 4 3 3" xfId="1398" xr:uid="{4145E803-E44A-4B04-89FC-04075F23CD6B}"/>
    <cellStyle name="Normal 8 4 4" xfId="978" xr:uid="{00000000-0005-0000-0000-000093030000}"/>
    <cellStyle name="Normal 8 4 4 2" xfId="1811" xr:uid="{C9BD6363-8FB0-4E7C-B909-1C3BE2F78317}"/>
    <cellStyle name="Normal 8 4 5" xfId="1395" xr:uid="{8125542A-A597-4D8A-8465-1C0103E1A1DB}"/>
    <cellStyle name="Normal 8 5" xfId="510" xr:uid="{00000000-0005-0000-0000-000094030000}"/>
    <cellStyle name="Normal 8 5 2" xfId="511" xr:uid="{00000000-0005-0000-0000-000095030000}"/>
    <cellStyle name="Normal 8 5 2 2" xfId="983" xr:uid="{00000000-0005-0000-0000-000096030000}"/>
    <cellStyle name="Normal 8 5 2 2 2" xfId="1816" xr:uid="{C9874BA4-1304-4B85-AE5D-06254B2DA409}"/>
    <cellStyle name="Normal 8 5 2 3" xfId="1400" xr:uid="{8A32BE9B-CAB8-474E-964F-E2DCBEC20153}"/>
    <cellStyle name="Normal 8 5 3" xfId="982" xr:uid="{00000000-0005-0000-0000-000097030000}"/>
    <cellStyle name="Normal 8 5 3 2" xfId="1815" xr:uid="{0F73D552-F6AE-46C9-A638-CF297C4512E2}"/>
    <cellStyle name="Normal 8 5 4" xfId="1399" xr:uid="{A6FA3675-8AC0-4D05-B949-667486A9E88D}"/>
    <cellStyle name="Normal 8 6" xfId="512" xr:uid="{00000000-0005-0000-0000-000098030000}"/>
    <cellStyle name="Normal 8 6 2" xfId="984" xr:uid="{00000000-0005-0000-0000-000099030000}"/>
    <cellStyle name="Normal 8 6 2 2" xfId="1817" xr:uid="{41228E0C-FE1E-420F-87C3-B5A69B0ED6EA}"/>
    <cellStyle name="Normal 8 6 3" xfId="1401" xr:uid="{E2BA555F-8D82-420B-A5F5-7A87BC697E9A}"/>
    <cellStyle name="Normal 8 7" xfId="953" xr:uid="{00000000-0005-0000-0000-00009A030000}"/>
    <cellStyle name="Normal 8 7 2" xfId="1786" xr:uid="{5CDCBE29-9ECA-45A5-8003-E53DCE74BA67}"/>
    <cellStyle name="Normal 8 8" xfId="1370" xr:uid="{7E59981E-B389-444B-BB12-B5F557AB0527}"/>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F4D24E79-45D3-4227-AA6E-DEDFD25CCDAE}"/>
    <cellStyle name="Normal 9 2 2 2 2 2 3" xfId="1406" xr:uid="{480F8D1D-0C3D-4FB6-B325-E7C6CCF94D3A}"/>
    <cellStyle name="Normal 9 2 2 2 2 3" xfId="989" xr:uid="{00000000-0005-0000-0000-0000A2030000}"/>
    <cellStyle name="Normal 9 2 2 2 2 3 2" xfId="1821" xr:uid="{D684ADA0-69CA-4367-987B-548CEC5382A4}"/>
    <cellStyle name="Normal 9 2 2 2 2 4" xfId="1405" xr:uid="{464C8EDF-EC65-4CEC-AAD7-CB3121A560D2}"/>
    <cellStyle name="Normal 9 2 2 2 3" xfId="519" xr:uid="{00000000-0005-0000-0000-0000A3030000}"/>
    <cellStyle name="Normal 9 2 2 2 3 2" xfId="991" xr:uid="{00000000-0005-0000-0000-0000A4030000}"/>
    <cellStyle name="Normal 9 2 2 2 3 2 2" xfId="1823" xr:uid="{25734D4B-A16C-4236-AC9D-D9FC41E3350E}"/>
    <cellStyle name="Normal 9 2 2 2 3 3" xfId="1407" xr:uid="{AA6D8E6D-ECA4-49CA-8470-00F687C47CAB}"/>
    <cellStyle name="Normal 9 2 2 2 4" xfId="988" xr:uid="{00000000-0005-0000-0000-0000A5030000}"/>
    <cellStyle name="Normal 9 2 2 2 4 2" xfId="1820" xr:uid="{70AD8ADB-A1D6-42E3-8934-37B2264B39B7}"/>
    <cellStyle name="Normal 9 2 2 2 5" xfId="1404" xr:uid="{BA997575-797E-494A-9EDB-68963FE1B71B}"/>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3028E47D-9A6B-4F10-97EC-3A24DC460C13}"/>
    <cellStyle name="Normal 9 2 2 3 2 3" xfId="1409" xr:uid="{CEA13C8D-47F1-4ADB-AB19-9028F81F3270}"/>
    <cellStyle name="Normal 9 2 2 3 3" xfId="992" xr:uid="{00000000-0005-0000-0000-0000A9030000}"/>
    <cellStyle name="Normal 9 2 2 3 3 2" xfId="1824" xr:uid="{55718953-1803-44B7-8560-970FFB41D76D}"/>
    <cellStyle name="Normal 9 2 2 3 4" xfId="1408" xr:uid="{20220E7F-AE01-46E5-9E53-8C58FF63CD8D}"/>
    <cellStyle name="Normal 9 2 2 4" xfId="522" xr:uid="{00000000-0005-0000-0000-0000AA030000}"/>
    <cellStyle name="Normal 9 2 2 4 2" xfId="994" xr:uid="{00000000-0005-0000-0000-0000AB030000}"/>
    <cellStyle name="Normal 9 2 2 4 2 2" xfId="1826" xr:uid="{F7E2C62F-2F91-4DE8-B7A6-2F1A1B127229}"/>
    <cellStyle name="Normal 9 2 2 4 3" xfId="1410" xr:uid="{A2244EBB-E5FD-45B8-9C0F-C2EAFCA3D81A}"/>
    <cellStyle name="Normal 9 2 2 5" xfId="987" xr:uid="{00000000-0005-0000-0000-0000AC030000}"/>
    <cellStyle name="Normal 9 2 2 5 2" xfId="1819" xr:uid="{35FD9222-2699-454E-921C-8EA01A1D91D3}"/>
    <cellStyle name="Normal 9 2 2 6" xfId="1403" xr:uid="{566C11EF-EF3F-4DB7-B7FA-78AD7A9050CA}"/>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D89553F6-FCD4-41C8-B725-32BF6382C1E2}"/>
    <cellStyle name="Normal 9 2 3 2 2 3" xfId="1413" xr:uid="{E16FFE54-EBBF-4D16-851D-DFB81F0DAC04}"/>
    <cellStyle name="Normal 9 2 3 2 3" xfId="996" xr:uid="{00000000-0005-0000-0000-0000B1030000}"/>
    <cellStyle name="Normal 9 2 3 2 3 2" xfId="1828" xr:uid="{363C3F0A-11FB-4EFD-AFFD-BECF939E9BE5}"/>
    <cellStyle name="Normal 9 2 3 2 4" xfId="1412" xr:uid="{07C68AA8-3C82-4A25-BF96-D019E6CC768C}"/>
    <cellStyle name="Normal 9 2 3 3" xfId="526" xr:uid="{00000000-0005-0000-0000-0000B2030000}"/>
    <cellStyle name="Normal 9 2 3 3 2" xfId="998" xr:uid="{00000000-0005-0000-0000-0000B3030000}"/>
    <cellStyle name="Normal 9 2 3 3 2 2" xfId="1830" xr:uid="{30E50F27-FA47-4BEA-81A1-9ECE91CFCC82}"/>
    <cellStyle name="Normal 9 2 3 3 3" xfId="1414" xr:uid="{97D53EBD-554F-4D86-9D83-4BB57EAA717A}"/>
    <cellStyle name="Normal 9 2 3 4" xfId="995" xr:uid="{00000000-0005-0000-0000-0000B4030000}"/>
    <cellStyle name="Normal 9 2 3 4 2" xfId="1827" xr:uid="{2DE868DA-1FE9-4393-910D-CF27BD617BF8}"/>
    <cellStyle name="Normal 9 2 3 5" xfId="1411" xr:uid="{6E542C00-B3DD-4EE1-8DF5-9A9D1AE8C19A}"/>
    <cellStyle name="Normal 9 2 4" xfId="527" xr:uid="{00000000-0005-0000-0000-0000B5030000}"/>
    <cellStyle name="Normal 9 2 4 2" xfId="528" xr:uid="{00000000-0005-0000-0000-0000B6030000}"/>
    <cellStyle name="Normal 9 2 4 2 2" xfId="1000" xr:uid="{00000000-0005-0000-0000-0000B7030000}"/>
    <cellStyle name="Normal 9 2 4 2 2 2" xfId="1832" xr:uid="{75363D0D-BA50-4348-928B-E33961298959}"/>
    <cellStyle name="Normal 9 2 4 2 3" xfId="1416" xr:uid="{F0014657-0E98-4681-85A3-A0203788FE45}"/>
    <cellStyle name="Normal 9 2 4 3" xfId="999" xr:uid="{00000000-0005-0000-0000-0000B8030000}"/>
    <cellStyle name="Normal 9 2 4 3 2" xfId="1831" xr:uid="{41F50586-E458-4002-8D22-F11F0AE3D506}"/>
    <cellStyle name="Normal 9 2 4 4" xfId="1415" xr:uid="{31696913-A6EB-4A77-8095-7CCFBA85D161}"/>
    <cellStyle name="Normal 9 2 5" xfId="529" xr:uid="{00000000-0005-0000-0000-0000B9030000}"/>
    <cellStyle name="Normal 9 2 5 2" xfId="1001" xr:uid="{00000000-0005-0000-0000-0000BA030000}"/>
    <cellStyle name="Normal 9 2 5 2 2" xfId="1833" xr:uid="{E79140B8-EDDA-47CF-9E7B-358857E0065A}"/>
    <cellStyle name="Normal 9 2 5 3" xfId="1417" xr:uid="{F65AEF53-021A-4607-85B8-DDFD70F2C35D}"/>
    <cellStyle name="Normal 9 2 6" xfId="986" xr:uid="{00000000-0005-0000-0000-0000BB030000}"/>
    <cellStyle name="Normal 9 2 6 2" xfId="1818" xr:uid="{52B4E09C-26F7-4895-9A0E-0E571DA4F204}"/>
    <cellStyle name="Normal 9 2 7" xfId="1402" xr:uid="{8258C294-A208-4974-8615-7DF11FE39812}"/>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0BB87856-A48B-4227-94A2-E92A22C196A8}"/>
    <cellStyle name="Normal 9 3 2 2 2 3" xfId="1421" xr:uid="{774C6DBF-14D1-416D-A7BF-FF83E78044D1}"/>
    <cellStyle name="Normal 9 3 2 2 3" xfId="1004" xr:uid="{00000000-0005-0000-0000-0000C1030000}"/>
    <cellStyle name="Normal 9 3 2 2 3 2" xfId="1836" xr:uid="{FFF6F748-61C2-4CC2-888A-2BB7163C27D7}"/>
    <cellStyle name="Normal 9 3 2 2 4" xfId="1420" xr:uid="{09BDF0E6-0D91-4A53-89EC-C14CF30FA241}"/>
    <cellStyle name="Normal 9 3 2 3" xfId="534" xr:uid="{00000000-0005-0000-0000-0000C2030000}"/>
    <cellStyle name="Normal 9 3 2 3 2" xfId="1006" xr:uid="{00000000-0005-0000-0000-0000C3030000}"/>
    <cellStyle name="Normal 9 3 2 3 2 2" xfId="1838" xr:uid="{3D537EAA-DCCC-47C4-B0AE-D3E3F782EAD8}"/>
    <cellStyle name="Normal 9 3 2 3 3" xfId="1422" xr:uid="{E3809DEE-11A0-4F6F-90BA-681DD2857E56}"/>
    <cellStyle name="Normal 9 3 2 4" xfId="1003" xr:uid="{00000000-0005-0000-0000-0000C4030000}"/>
    <cellStyle name="Normal 9 3 2 4 2" xfId="1835" xr:uid="{14DD5636-FE2F-42D8-A5C7-7F67186C1608}"/>
    <cellStyle name="Normal 9 3 2 5" xfId="1419" xr:uid="{AB67AE4D-F77E-4097-A473-850EB030C35A}"/>
    <cellStyle name="Normal 9 3 3" xfId="535" xr:uid="{00000000-0005-0000-0000-0000C5030000}"/>
    <cellStyle name="Normal 9 3 3 2" xfId="536" xr:uid="{00000000-0005-0000-0000-0000C6030000}"/>
    <cellStyle name="Normal 9 3 3 2 2" xfId="1008" xr:uid="{00000000-0005-0000-0000-0000C7030000}"/>
    <cellStyle name="Normal 9 3 3 2 2 2" xfId="1840" xr:uid="{53139755-3D02-422F-AAF6-44546D79C4CF}"/>
    <cellStyle name="Normal 9 3 3 2 3" xfId="1424" xr:uid="{27B0152B-06F3-4F86-8BC5-93852D3510CA}"/>
    <cellStyle name="Normal 9 3 3 3" xfId="1007" xr:uid="{00000000-0005-0000-0000-0000C8030000}"/>
    <cellStyle name="Normal 9 3 3 3 2" xfId="1839" xr:uid="{E66C2693-149C-4EBD-9860-43C0CE7CEC43}"/>
    <cellStyle name="Normal 9 3 3 4" xfId="1423" xr:uid="{759F7C79-7AEC-4118-9F90-6EC4E5C0405B}"/>
    <cellStyle name="Normal 9 3 4" xfId="537" xr:uid="{00000000-0005-0000-0000-0000C9030000}"/>
    <cellStyle name="Normal 9 3 4 2" xfId="1009" xr:uid="{00000000-0005-0000-0000-0000CA030000}"/>
    <cellStyle name="Normal 9 3 4 2 2" xfId="1841" xr:uid="{131FDD0E-59D4-4FFC-BF5A-6F6D46503C6F}"/>
    <cellStyle name="Normal 9 3 4 3" xfId="1425" xr:uid="{51BF9BBD-850E-4E26-8E58-9516FCDD66E8}"/>
    <cellStyle name="Normal 9 3 5" xfId="1002" xr:uid="{00000000-0005-0000-0000-0000CB030000}"/>
    <cellStyle name="Normal 9 3 5 2" xfId="1834" xr:uid="{957C8D23-8792-4214-A0B1-B52757AB5B22}"/>
    <cellStyle name="Normal 9 3 6" xfId="1418" xr:uid="{BE70F371-5115-4E9E-B4D6-F341CDA7AE3E}"/>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9344E703-6F92-4B51-BD39-B9ABEEE301DF}"/>
    <cellStyle name="Normal 9 5 2 3" xfId="1427" xr:uid="{9B6B2CEA-6E96-4D9E-9CBA-E17B481F38C1}"/>
    <cellStyle name="Normal 9 5 3" xfId="1011" xr:uid="{00000000-0005-0000-0000-0000D1030000}"/>
    <cellStyle name="Normal 9 5 3 2" xfId="1842" xr:uid="{F9CD6EE9-7B94-46C1-BC2F-769591D544AE}"/>
    <cellStyle name="Normal 9 5 4" xfId="1426" xr:uid="{79BF9439-F885-44DD-A7C6-CCAA2F2A2D05}"/>
    <cellStyle name="Normal 9 6" xfId="541" xr:uid="{00000000-0005-0000-0000-0000D2030000}"/>
    <cellStyle name="Normal 9 6 2" xfId="1013" xr:uid="{00000000-0005-0000-0000-0000D3030000}"/>
    <cellStyle name="Normal 9 6 2 2" xfId="1844" xr:uid="{F23D828A-9F9A-4653-A589-813C0389811E}"/>
    <cellStyle name="Normal 9 6 3" xfId="1428" xr:uid="{7548D144-1FF8-4845-BAC6-7DFFE8C4F3D4}"/>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5640CDBD-0AE7-4AEF-8F90-D8D4879C7DB7}"/>
    <cellStyle name="Note 2 2 2 2 3" xfId="1431" xr:uid="{20D41DE5-5D3F-4FAF-B05C-A6B69AC70EA5}"/>
    <cellStyle name="Note 2 2 2 3" xfId="1015" xr:uid="{00000000-0005-0000-0000-0000E0030000}"/>
    <cellStyle name="Note 2 2 2 3 2" xfId="1846" xr:uid="{411543A8-723F-4A64-A346-176014CF0808}"/>
    <cellStyle name="Note 2 2 2 4" xfId="1430" xr:uid="{4D48FF93-818B-459C-9B03-6369C9DA5858}"/>
    <cellStyle name="Note 2 2 3" xfId="552" xr:uid="{00000000-0005-0000-0000-0000E1030000}"/>
    <cellStyle name="Note 2 2 3 2" xfId="1017" xr:uid="{00000000-0005-0000-0000-0000E2030000}"/>
    <cellStyle name="Note 2 2 3 2 2" xfId="1848" xr:uid="{EE3DD407-1B92-4C54-9139-30660A0DDA50}"/>
    <cellStyle name="Note 2 2 3 3" xfId="1432" xr:uid="{D616E4B6-2761-4FA7-99FC-52880BEC82B0}"/>
    <cellStyle name="Note 2 2 4" xfId="1014" xr:uid="{00000000-0005-0000-0000-0000E3030000}"/>
    <cellStyle name="Note 2 2 4 2" xfId="1845" xr:uid="{5173C6B0-B31C-4E1B-8BA6-DEB97D06DC08}"/>
    <cellStyle name="Note 2 2 5" xfId="1429" xr:uid="{1B3A3DFF-79B8-463D-97BA-2B2E49D943C7}"/>
    <cellStyle name="Note 2 3" xfId="553" xr:uid="{00000000-0005-0000-0000-0000E4030000}"/>
    <cellStyle name="Note 2 3 2" xfId="554" xr:uid="{00000000-0005-0000-0000-0000E5030000}"/>
    <cellStyle name="Note 2 3 2 2" xfId="1019" xr:uid="{00000000-0005-0000-0000-0000E6030000}"/>
    <cellStyle name="Note 2 3 2 2 2" xfId="1850" xr:uid="{1C3C137B-5658-4CA4-846E-92A971642053}"/>
    <cellStyle name="Note 2 3 2 3" xfId="1434" xr:uid="{2E6AADBF-75B7-47AF-971D-8B9E9A100CC3}"/>
    <cellStyle name="Note 2 3 3" xfId="1018" xr:uid="{00000000-0005-0000-0000-0000E7030000}"/>
    <cellStyle name="Note 2 3 3 2" xfId="1849" xr:uid="{241CC724-A6C6-43C5-9164-E2095CA9C907}"/>
    <cellStyle name="Note 2 3 4" xfId="1433" xr:uid="{BBB6CE4B-1928-49F7-8454-36A0EC271933}"/>
    <cellStyle name="Note 2 4" xfId="555" xr:uid="{00000000-0005-0000-0000-0000E8030000}"/>
    <cellStyle name="Note 2 4 2" xfId="1020" xr:uid="{00000000-0005-0000-0000-0000E9030000}"/>
    <cellStyle name="Note 2 4 2 2" xfId="1851" xr:uid="{45401F08-0838-4452-A5A9-7FA9F6A86526}"/>
    <cellStyle name="Note 2 4 3" xfId="1435" xr:uid="{AC8F4DE9-19A9-43C5-B63D-A25B65CD6D61}"/>
    <cellStyle name="Note 2 5" xfId="556" xr:uid="{00000000-0005-0000-0000-0000EA030000}"/>
    <cellStyle name="Note 2 5 2" xfId="1021" xr:uid="{00000000-0005-0000-0000-0000EB030000}"/>
    <cellStyle name="Note 2 5 2 2" xfId="1852" xr:uid="{CCD0EB68-0C38-45F4-A709-171CA4920604}"/>
    <cellStyle name="Note 2 5 3" xfId="1436" xr:uid="{645F9C91-8073-4B37-8123-F99B7F3F2D06}"/>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94B8E0B8-1D99-43F6-9415-74E0609859FD}"/>
    <cellStyle name="Note 3 2 2 2 3" xfId="1439" xr:uid="{F350A773-C3E5-47C3-980B-AD146ECC572E}"/>
    <cellStyle name="Note 3 2 2 3" xfId="1023" xr:uid="{00000000-0005-0000-0000-0000F1030000}"/>
    <cellStyle name="Note 3 2 2 3 2" xfId="1854" xr:uid="{8972D0A4-AD47-4852-97A5-289BD57E2A41}"/>
    <cellStyle name="Note 3 2 2 4" xfId="1438" xr:uid="{1F827CE5-036D-4DC2-B8D4-51D3BCCD1737}"/>
    <cellStyle name="Note 3 2 3" xfId="561" xr:uid="{00000000-0005-0000-0000-0000F2030000}"/>
    <cellStyle name="Note 3 2 3 2" xfId="1025" xr:uid="{00000000-0005-0000-0000-0000F3030000}"/>
    <cellStyle name="Note 3 2 3 2 2" xfId="1856" xr:uid="{91977930-4908-4102-8879-4D31CC5C2FFC}"/>
    <cellStyle name="Note 3 2 3 3" xfId="1440" xr:uid="{EEB579BD-E86A-4F6F-BB7C-8973C0027BC5}"/>
    <cellStyle name="Note 3 2 4" xfId="1022" xr:uid="{00000000-0005-0000-0000-0000F4030000}"/>
    <cellStyle name="Note 3 2 4 2" xfId="1853" xr:uid="{B269D80B-B638-4D61-BD38-A7AA1033F767}"/>
    <cellStyle name="Note 3 2 5" xfId="1437" xr:uid="{5D7C764E-8E03-40AC-8F97-9C2F69AA412B}"/>
    <cellStyle name="Note 3 3" xfId="562" xr:uid="{00000000-0005-0000-0000-0000F5030000}"/>
    <cellStyle name="Note 3 3 2" xfId="563" xr:uid="{00000000-0005-0000-0000-0000F6030000}"/>
    <cellStyle name="Note 3 3 2 2" xfId="1027" xr:uid="{00000000-0005-0000-0000-0000F7030000}"/>
    <cellStyle name="Note 3 3 2 2 2" xfId="1858" xr:uid="{FA6867EA-CDEC-49D0-936A-4BA98F8B86E1}"/>
    <cellStyle name="Note 3 3 2 3" xfId="1442" xr:uid="{9320B174-29FE-4E24-AF15-C809B556F993}"/>
    <cellStyle name="Note 3 3 3" xfId="1026" xr:uid="{00000000-0005-0000-0000-0000F8030000}"/>
    <cellStyle name="Note 3 3 3 2" xfId="1857" xr:uid="{B3B81A5A-4B10-4959-984A-5A7B5496223A}"/>
    <cellStyle name="Note 3 3 4" xfId="1441" xr:uid="{533DD91A-48ED-4704-B8AF-30246744B471}"/>
    <cellStyle name="Note 3 4" xfId="564" xr:uid="{00000000-0005-0000-0000-0000F9030000}"/>
    <cellStyle name="Note 3 4 2" xfId="1028" xr:uid="{00000000-0005-0000-0000-0000FA030000}"/>
    <cellStyle name="Note 3 4 2 2" xfId="1859" xr:uid="{97701EC3-97EE-4491-8DD2-9B229EA25624}"/>
    <cellStyle name="Note 3 4 3" xfId="1443" xr:uid="{D2814139-644E-4E5D-92A6-3DAE069D5F71}"/>
    <cellStyle name="Note 3 5" xfId="565" xr:uid="{00000000-0005-0000-0000-0000FB030000}"/>
    <cellStyle name="Note 3 5 2" xfId="1029" xr:uid="{00000000-0005-0000-0000-0000FC030000}"/>
    <cellStyle name="Note 3 5 2 2" xfId="1860" xr:uid="{F4142F67-34D7-436E-A960-3F1CB6AF8ABA}"/>
    <cellStyle name="Note 3 5 3" xfId="1444" xr:uid="{49B73D4E-2655-4D86-94E6-2CA8F952E7D4}"/>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33C9A309-EC97-4580-A6FC-26A97D85F4AD}"/>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619000-21619999\21619480\L\L\Lakeport%209%25%202nd%20Round%202024%206-13-24%20BUILDERS%20PATCH%20(ID%2021619480).xlsm" TargetMode="External"/><Relationship Id="rId1" Type="http://schemas.openxmlformats.org/officeDocument/2006/relationships/externalLinkPath" Target="file:///M:\Danco\ID2\A3108815-C4F0-433C-9B1A-4C97292995EF\0\21619000-21619999\21619480\L\L\Lakeport%209%25%202nd%20Round%202024%206-13-24%20BUILDERS%20PATCH%20(ID%20216194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BP-data import"/>
      <sheetName val="BP- deal core data"/>
      <sheetName val="BP - development budget v2"/>
      <sheetName val="BP-Rental Income v2"/>
      <sheetName val="BP- Income Opex v2"/>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Sources and Uses Budget"/>
      <sheetName val="Construction Estimate"/>
      <sheetName val="Unit Spread"/>
      <sheetName val="Trade Item Breakdown - Old DNU"/>
      <sheetName val="ExpensesToDate"/>
      <sheetName val="Draw Schedule"/>
      <sheetName val="Impact Fees"/>
      <sheetName val="Cost of Issuance Breakdown"/>
      <sheetName val="Year 1 Proforma"/>
      <sheetName val="15 Year Proforma"/>
      <sheetName val="P&amp;O Calculator"/>
      <sheetName val="2017 Final Tie Breaker"/>
      <sheetName val="2018 Final Tie Breaker"/>
      <sheetName val="HCD Operating"/>
      <sheetName val="TCAC Operating Expenses"/>
      <sheetName val="COSR Calculation"/>
      <sheetName val="HCD Funding"/>
      <sheetName val="Income Avg"/>
      <sheetName val="Services Budget"/>
      <sheetName val="2024 9% Tie Breaker"/>
      <sheetName val="OLD Dev Fee Calculator - DNU "/>
      <sheetName val="2024 TCAC Dev Fee Calc"/>
      <sheetName val="Developer Fee Calculator"/>
      <sheetName val="Homekey Summary"/>
      <sheetName val="HOMEKEY Table"/>
      <sheetName val="Draw Sheet"/>
      <sheetName val="Installments"/>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Stabilization Analysis"/>
      <sheetName val="Post Completion Sources &amp; Uses"/>
      <sheetName val="Const. Loan Interest Breakdown"/>
      <sheetName val="WebGrab"/>
      <sheetName val="ZoningGEO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2">
          <cell r="B12">
            <v>64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33"/>
    </sheetView>
  </sheetViews>
  <sheetFormatPr defaultColWidth="0" defaultRowHeight="13.2" zeroHeight="1"/>
  <cols>
    <col min="1" max="38" width="2.44140625" customWidth="1"/>
    <col min="39" max="16384" width="8.88671875" hidden="1"/>
  </cols>
  <sheetData>
    <row r="1" spans="1:38">
      <c r="A1" s="980" t="s">
        <v>1870</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0" t="s">
        <v>2154</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65" customHeight="1">
      <c r="A19" s="5"/>
      <c r="C19" s="3"/>
      <c r="D19" s="970" t="s">
        <v>2315</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2304</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2305</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2015</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1286</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1143</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0" t="s">
        <v>1687</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0" t="s">
        <v>2156</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9" t="s">
        <v>2157</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2158</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0" t="s">
        <v>1690</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1689</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0" t="s">
        <v>1691</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1692</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1705</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1706</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0" t="s">
        <v>1693</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1694</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0" t="s">
        <v>1698</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1699</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1700</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1701</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0" t="s">
        <v>1702</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0" t="s">
        <v>1703</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8" t="s">
        <v>1704</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0" t="s">
        <v>1707</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0" t="s">
        <v>1708</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0" t="s">
        <v>1709</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0" t="s">
        <v>2316</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901</v>
      </c>
      <c r="F235" s="5" t="s">
        <v>245</v>
      </c>
      <c r="G235" s="5"/>
      <c r="H235" s="5"/>
      <c r="I235" s="5"/>
      <c r="M235" s="5"/>
      <c r="N235" s="5"/>
      <c r="O235" s="5"/>
      <c r="P235" s="5"/>
      <c r="Q235" s="5"/>
      <c r="R235" s="5"/>
      <c r="S235" s="5"/>
    </row>
    <row r="236" spans="1:38">
      <c r="B236" s="5"/>
      <c r="C236" s="5"/>
      <c r="F236" s="5" t="s">
        <v>821</v>
      </c>
      <c r="G236" s="970" t="s">
        <v>1710</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9" t="s">
        <v>1820</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900</v>
      </c>
      <c r="F348" s="970" t="s">
        <v>1821</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901</v>
      </c>
      <c r="F352" s="970" t="s">
        <v>1822</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6" customFormat="1">
      <c r="A365"/>
      <c r="B365" s="3"/>
      <c r="C365"/>
      <c r="D365"/>
      <c r="E365" s="976" t="s">
        <v>1817</v>
      </c>
    </row>
    <row r="366" spans="1:38" s="976" customFormat="1">
      <c r="A366"/>
      <c r="B366" s="3"/>
      <c r="C366"/>
      <c r="D366"/>
    </row>
    <row r="367" spans="1:38">
      <c r="B367" s="3"/>
      <c r="F367" s="974" t="s">
        <v>1818</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9"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7" t="s">
        <v>300</v>
      </c>
      <c r="B2" s="988"/>
      <c r="C2" s="988"/>
      <c r="D2" s="988"/>
      <c r="E2" s="988"/>
      <c r="F2" s="988"/>
      <c r="G2" s="988"/>
      <c r="H2" s="988"/>
      <c r="I2" s="988"/>
      <c r="J2" s="988"/>
    </row>
    <row r="3" spans="1:10" ht="15">
      <c r="A3" s="989" t="s">
        <v>2298</v>
      </c>
      <c r="B3" s="988"/>
      <c r="C3" s="988"/>
      <c r="D3" s="988"/>
      <c r="E3" s="988"/>
      <c r="F3" s="988"/>
      <c r="G3" s="988"/>
      <c r="H3" s="988"/>
      <c r="I3" s="988"/>
      <c r="J3" s="988"/>
    </row>
    <row r="4" spans="1:10"/>
    <row r="5" spans="1:10" ht="12.75" customHeight="1">
      <c r="A5" s="994" t="s">
        <v>2167</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2097</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1868</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1" t="s">
        <v>2299</v>
      </c>
      <c r="B2" s="1041"/>
      <c r="C2" s="988"/>
      <c r="D2" s="988"/>
      <c r="E2" s="988"/>
      <c r="F2" s="988"/>
      <c r="G2" s="988"/>
      <c r="I2" t="s">
        <v>79</v>
      </c>
    </row>
    <row r="3" spans="1:9" ht="13.2">
      <c r="A3" s="190"/>
      <c r="B3" s="190"/>
      <c r="C3"/>
      <c r="D3"/>
      <c r="E3"/>
      <c r="F3"/>
      <c r="G3"/>
      <c r="I3" s="5" t="s">
        <v>1392</v>
      </c>
    </row>
    <row r="4" spans="1:9" ht="13.2">
      <c r="A4" s="1042" t="s">
        <v>2133</v>
      </c>
      <c r="B4" s="1042"/>
      <c r="C4" s="1043"/>
      <c r="D4" s="1043"/>
      <c r="E4" s="1043"/>
      <c r="F4" s="1043"/>
      <c r="G4" s="1043"/>
      <c r="I4" s="5" t="s">
        <v>1376</v>
      </c>
    </row>
    <row r="5" spans="1:9" ht="13.2">
      <c r="A5" s="1042" t="s">
        <v>1041</v>
      </c>
      <c r="B5" s="1042"/>
      <c r="C5" s="1043"/>
      <c r="D5" s="1043"/>
      <c r="E5" s="1043"/>
      <c r="F5" s="1043"/>
      <c r="G5" s="1043"/>
      <c r="I5" t="s">
        <v>124</v>
      </c>
    </row>
    <row r="6" spans="1:9" ht="13.65" customHeight="1"/>
    <row r="7" spans="1:9" ht="13.2">
      <c r="A7" s="1045" t="s">
        <v>2310</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1544</v>
      </c>
      <c r="B10" s="1031"/>
      <c r="C10" s="1031"/>
      <c r="D10" s="1031"/>
      <c r="E10" s="1031"/>
      <c r="F10" s="1031"/>
      <c r="G10" s="1031"/>
    </row>
    <row r="11" spans="1:9" ht="13.2">
      <c r="A11" s="190"/>
      <c r="B11" s="190"/>
    </row>
    <row r="12" spans="1:9" ht="13.65" customHeight="1">
      <c r="C12" s="190"/>
      <c r="D12" s="1044" t="s">
        <v>1543</v>
      </c>
      <c r="E12" s="1044"/>
      <c r="F12" s="1044"/>
      <c r="G12" s="610"/>
    </row>
    <row r="13" spans="1:9" ht="13.2">
      <c r="C13" s="190"/>
      <c r="D13" s="1044"/>
      <c r="E13" s="1044"/>
      <c r="F13" s="1044"/>
      <c r="G13" s="610"/>
    </row>
    <row r="14" spans="1:9" ht="13.2">
      <c r="A14" s="191"/>
      <c r="B14" s="191"/>
      <c r="C14" s="191"/>
      <c r="D14" s="997" t="s">
        <v>1414</v>
      </c>
      <c r="E14" s="997"/>
      <c r="F14" s="997"/>
    </row>
    <row r="15" spans="1:9" ht="13.2">
      <c r="A15" s="191"/>
      <c r="B15" s="191"/>
      <c r="C15" s="191"/>
    </row>
    <row r="16" spans="1:9" ht="14.4" customHeight="1">
      <c r="A16" s="271"/>
      <c r="B16" s="609" t="s">
        <v>79</v>
      </c>
      <c r="C16" s="191"/>
      <c r="D16" s="970" t="s">
        <v>2062</v>
      </c>
      <c r="E16" s="977"/>
      <c r="F16" s="977"/>
      <c r="G16" s="354"/>
    </row>
    <row r="17" spans="1:7" ht="14.4" customHeight="1">
      <c r="A17" s="271"/>
      <c r="C17" s="191"/>
      <c r="D17" s="977"/>
      <c r="E17" s="977"/>
      <c r="F17" s="977"/>
      <c r="G17" s="354"/>
    </row>
    <row r="18" spans="1:7" ht="13.2">
      <c r="A18" s="191"/>
      <c r="C18" s="191"/>
      <c r="D18" s="977"/>
      <c r="E18" s="977"/>
      <c r="F18" s="977"/>
      <c r="G18" s="354"/>
    </row>
    <row r="19" spans="1:7" ht="13.2">
      <c r="A19" s="191"/>
      <c r="C19" s="191"/>
      <c r="D19" s="24"/>
      <c r="E19" s="128" t="s">
        <v>2063</v>
      </c>
      <c r="F19" s="24"/>
      <c r="G19" s="354"/>
    </row>
    <row r="20" spans="1:7" ht="13.2">
      <c r="A20" s="191"/>
      <c r="B20" s="191"/>
      <c r="C20" s="191"/>
    </row>
    <row r="21" spans="1:7" ht="14.4">
      <c r="A21" s="271"/>
      <c r="B21" s="609" t="s">
        <v>79</v>
      </c>
      <c r="D21" s="970" t="s">
        <v>2064</v>
      </c>
      <c r="E21" s="977"/>
      <c r="F21" s="977"/>
    </row>
    <row r="22" spans="1:7" ht="13.2">
      <c r="D22" s="977"/>
      <c r="E22" s="977"/>
      <c r="F22" s="977"/>
    </row>
    <row r="23" spans="1:7" ht="13.2">
      <c r="D23" s="102"/>
      <c r="E23" s="104" t="s">
        <v>2065</v>
      </c>
      <c r="F23" s="102"/>
    </row>
    <row r="24" spans="1:7" ht="14.4">
      <c r="A24" s="271"/>
      <c r="B24" s="271"/>
      <c r="D24" s="44"/>
    </row>
    <row r="25" spans="1:7" ht="14.4">
      <c r="A25" s="271"/>
      <c r="B25" s="609" t="s">
        <v>79</v>
      </c>
      <c r="D25" s="977" t="s">
        <v>1408</v>
      </c>
      <c r="E25" s="977"/>
      <c r="F25" s="977"/>
    </row>
    <row r="26" spans="1:7" ht="14.4">
      <c r="A26" s="271"/>
      <c r="B26" s="271"/>
      <c r="D26" s="977"/>
      <c r="E26" s="977"/>
      <c r="F26" s="977"/>
    </row>
    <row r="27" spans="1:7" ht="14.4">
      <c r="A27" s="271"/>
      <c r="B27" s="271"/>
      <c r="D27" s="44"/>
    </row>
    <row r="28" spans="1:7" ht="14.25" customHeight="1">
      <c r="A28" s="271"/>
      <c r="B28" s="609" t="s">
        <v>79</v>
      </c>
      <c r="D28" s="970" t="s">
        <v>2134</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4" customHeight="1">
      <c r="A34" s="271"/>
      <c r="B34" s="609" t="s">
        <v>79</v>
      </c>
      <c r="D34" s="977" t="s">
        <v>2135</v>
      </c>
      <c r="E34" s="977"/>
      <c r="F34" s="977"/>
    </row>
    <row r="35" spans="1:6" ht="14.4">
      <c r="A35" s="271"/>
      <c r="B35" s="271"/>
      <c r="D35" s="977"/>
      <c r="E35" s="977"/>
      <c r="F35" s="977"/>
    </row>
    <row r="36" spans="1:6" ht="14.4">
      <c r="A36" s="271"/>
      <c r="B36" s="271"/>
      <c r="D36" s="209"/>
      <c r="E36" s="209"/>
      <c r="F36" s="209"/>
    </row>
    <row r="37" spans="1:6" ht="14.4">
      <c r="A37" s="271"/>
      <c r="B37" s="609" t="s">
        <v>79</v>
      </c>
      <c r="D37" s="970" t="s">
        <v>1753</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4" customHeight="1">
      <c r="A46" s="271"/>
      <c r="B46" s="609" t="s">
        <v>79</v>
      </c>
      <c r="D46" s="977" t="s">
        <v>1441</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79</v>
      </c>
      <c r="D52" s="970" t="s">
        <v>1884</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79</v>
      </c>
      <c r="D59" s="970" t="s">
        <v>1926</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79</v>
      </c>
      <c r="D64" s="977" t="s">
        <v>2136</v>
      </c>
      <c r="E64" s="977"/>
      <c r="F64" s="977"/>
    </row>
    <row r="65" spans="1:6" ht="15" customHeight="1">
      <c r="A65" s="271"/>
      <c r="B65" s="271"/>
      <c r="D65" s="977"/>
      <c r="E65" s="977"/>
      <c r="F65" s="977"/>
    </row>
    <row r="66" spans="1:6" ht="21.6" customHeight="1">
      <c r="A66" s="271"/>
      <c r="B66" s="271"/>
      <c r="D66" s="977"/>
      <c r="E66" s="977"/>
      <c r="F66" s="977"/>
    </row>
    <row r="67" spans="1:6" ht="14.4">
      <c r="A67" s="271"/>
      <c r="B67" s="271"/>
    </row>
    <row r="68" spans="1:6" ht="14.25" customHeight="1">
      <c r="A68" s="271"/>
      <c r="B68" s="609" t="s">
        <v>79</v>
      </c>
      <c r="D68" s="970" t="s">
        <v>2066</v>
      </c>
      <c r="E68" s="977"/>
      <c r="F68" s="977"/>
    </row>
    <row r="69" spans="1:6" ht="13.2">
      <c r="D69" s="977"/>
      <c r="E69" s="977"/>
      <c r="F69" s="977"/>
    </row>
    <row r="70" spans="1:6" ht="13.2">
      <c r="D70" s="977"/>
      <c r="E70" s="977"/>
      <c r="F70" s="977"/>
    </row>
    <row r="71" spans="1:6" ht="14.4">
      <c r="A71" s="271"/>
      <c r="B71" s="271"/>
      <c r="D71" s="209"/>
      <c r="E71" s="128" t="s">
        <v>2063</v>
      </c>
      <c r="F71" s="209"/>
    </row>
    <row r="72" spans="1:6" ht="14.4">
      <c r="A72" s="271"/>
      <c r="B72" s="271"/>
    </row>
    <row r="73" spans="1:6" ht="14.4">
      <c r="A73" s="271"/>
      <c r="B73" s="609" t="s">
        <v>79</v>
      </c>
      <c r="D73" s="977" t="s">
        <v>1542</v>
      </c>
      <c r="E73" s="977"/>
      <c r="F73" s="977"/>
    </row>
    <row r="74" spans="1:6" ht="13.2">
      <c r="D74" s="977"/>
      <c r="E74" s="977"/>
      <c r="F74" s="977"/>
    </row>
    <row r="75" spans="1:6" ht="13.2">
      <c r="D75" s="977"/>
      <c r="E75" s="977"/>
      <c r="F75" s="977"/>
    </row>
    <row r="76" spans="1:6" ht="13.2"/>
    <row r="77" spans="1:6" ht="14.4">
      <c r="A77" s="271" t="s">
        <v>229</v>
      </c>
      <c r="B77" s="609" t="s">
        <v>79</v>
      </c>
      <c r="D77" s="977" t="s">
        <v>1444</v>
      </c>
      <c r="E77" s="977"/>
      <c r="F77" s="977"/>
    </row>
    <row r="78" spans="1:6" ht="13.2">
      <c r="D78" s="977"/>
      <c r="E78" s="977"/>
      <c r="F78" s="977"/>
    </row>
    <row r="79" spans="1:6" ht="13.2"/>
    <row r="80" spans="1:6" ht="14.4">
      <c r="A80" s="271" t="s">
        <v>229</v>
      </c>
      <c r="B80" s="609" t="s">
        <v>79</v>
      </c>
      <c r="D80" s="977" t="s">
        <v>1445</v>
      </c>
      <c r="E80" s="977"/>
      <c r="F80" s="977"/>
    </row>
    <row r="81" spans="1:7" ht="13.2">
      <c r="D81" s="977"/>
      <c r="E81" s="977"/>
      <c r="F81" s="977"/>
    </row>
    <row r="82" spans="1:7" ht="13.2">
      <c r="D82" s="977"/>
      <c r="E82" s="977"/>
      <c r="F82" s="977"/>
    </row>
    <row r="83" spans="1:7" ht="13.2">
      <c r="D83" s="44"/>
    </row>
    <row r="84" spans="1:7" ht="14.4">
      <c r="A84" s="271" t="s">
        <v>229</v>
      </c>
      <c r="B84" s="609" t="s">
        <v>79</v>
      </c>
      <c r="D84" s="977" t="s">
        <v>1446</v>
      </c>
      <c r="E84" s="977"/>
      <c r="F84" s="977"/>
    </row>
    <row r="85" spans="1:7" ht="13.2">
      <c r="D85" s="977"/>
      <c r="E85" s="977"/>
      <c r="F85" s="977"/>
    </row>
    <row r="86" spans="1:7" ht="13.2"/>
    <row r="87" spans="1:7" ht="13.2">
      <c r="A87" s="1031" t="s">
        <v>1380</v>
      </c>
      <c r="B87" s="1031"/>
      <c r="C87" s="1031"/>
      <c r="D87" s="1031"/>
      <c r="E87" s="1031"/>
      <c r="F87" s="1031"/>
      <c r="G87" s="1031"/>
    </row>
    <row r="88" spans="1:7" ht="13.2">
      <c r="E88"/>
      <c r="F88"/>
      <c r="G88"/>
    </row>
    <row r="89" spans="1:7" ht="13.65" customHeight="1">
      <c r="C89" s="590"/>
      <c r="D89" s="1004" t="s">
        <v>1381</v>
      </c>
      <c r="E89" s="1004"/>
      <c r="F89" s="1004"/>
      <c r="G89"/>
    </row>
    <row r="90" spans="1:7" ht="13.65" customHeight="1">
      <c r="A90" s="44"/>
      <c r="B90" s="44"/>
      <c r="D90" s="977" t="s">
        <v>1545</v>
      </c>
      <c r="E90" s="977"/>
      <c r="F90" s="977"/>
      <c r="G90"/>
    </row>
    <row r="91" spans="1:7" ht="13.2">
      <c r="A91" s="44"/>
      <c r="B91" s="44"/>
      <c r="E91"/>
      <c r="F91"/>
      <c r="G91"/>
    </row>
    <row r="92" spans="1:7" ht="14.25" customHeight="1">
      <c r="A92" s="271"/>
      <c r="B92" s="609" t="s">
        <v>79</v>
      </c>
      <c r="D92" s="970" t="s">
        <v>1857</v>
      </c>
      <c r="E92" s="970"/>
      <c r="F92" s="970"/>
      <c r="G92"/>
    </row>
    <row r="93" spans="1:7" ht="14.4"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4" customHeight="1">
      <c r="A101" s="271"/>
      <c r="B101" s="609" t="s">
        <v>79</v>
      </c>
      <c r="D101" s="1024" t="s">
        <v>1858</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79</v>
      </c>
      <c r="D114" s="977" t="s">
        <v>1546</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79</v>
      </c>
      <c r="D122" s="977" t="s">
        <v>1547</v>
      </c>
      <c r="E122" s="977"/>
      <c r="F122" s="977"/>
    </row>
    <row r="123" spans="1:7" ht="13.2">
      <c r="D123" s="977"/>
      <c r="E123" s="977"/>
      <c r="F123" s="977"/>
    </row>
    <row r="124" spans="1:7" ht="13.2">
      <c r="D124" s="977"/>
      <c r="E124" s="977"/>
      <c r="F124" s="977"/>
    </row>
    <row r="125" spans="1:7" ht="13.2">
      <c r="D125" s="977"/>
      <c r="E125" s="977"/>
      <c r="F125" s="977"/>
    </row>
    <row r="126" spans="1:7" ht="26.85" customHeight="1">
      <c r="D126" s="977"/>
      <c r="E126" s="977"/>
      <c r="F126" s="977"/>
    </row>
    <row r="127" spans="1:7" ht="13.2"/>
    <row r="128" spans="1:7" ht="14.4">
      <c r="A128" s="271"/>
      <c r="B128" s="609" t="s">
        <v>79</v>
      </c>
      <c r="D128" s="977" t="s">
        <v>1548</v>
      </c>
      <c r="E128" s="977"/>
      <c r="F128" s="977"/>
    </row>
    <row r="129" spans="1:7" s="323" customFormat="1" ht="13.95" customHeight="1">
      <c r="A129" s="316"/>
      <c r="B129" s="316"/>
      <c r="C129" s="316"/>
      <c r="D129" s="977"/>
      <c r="E129" s="977"/>
      <c r="F129" s="977"/>
      <c r="G129" s="357"/>
    </row>
    <row r="130" spans="1:7" ht="13.95" customHeight="1">
      <c r="D130" s="977"/>
      <c r="E130" s="977"/>
      <c r="F130" s="977"/>
    </row>
    <row r="131" spans="1:7" ht="13.95" customHeight="1">
      <c r="D131" s="977"/>
      <c r="E131" s="977"/>
      <c r="F131" s="977"/>
    </row>
    <row r="132" spans="1:7" ht="13.95" customHeight="1">
      <c r="D132" s="977"/>
      <c r="E132" s="977"/>
      <c r="F132" s="977"/>
    </row>
    <row r="133" spans="1:7" ht="13.95" customHeight="1">
      <c r="D133" s="977"/>
      <c r="E133" s="977"/>
      <c r="F133" s="977"/>
    </row>
    <row r="134" spans="1:7" ht="13.95" customHeight="1">
      <c r="D134" s="977"/>
      <c r="E134" s="977"/>
      <c r="F134" s="977"/>
      <c r="G134"/>
    </row>
    <row r="135" spans="1:7" ht="13.95" customHeight="1">
      <c r="D135" s="977"/>
      <c r="E135" s="977"/>
      <c r="F135" s="977"/>
      <c r="G135"/>
    </row>
    <row r="136" spans="1:7" ht="13.95" customHeight="1">
      <c r="D136" s="977"/>
      <c r="E136" s="977"/>
      <c r="F136" s="977"/>
      <c r="G136"/>
    </row>
    <row r="137" spans="1:7" ht="13.95" customHeight="1">
      <c r="D137" s="977"/>
      <c r="E137" s="977"/>
      <c r="F137" s="977"/>
      <c r="G137"/>
    </row>
    <row r="138" spans="1:7" ht="17.25" customHeight="1">
      <c r="D138" s="977"/>
      <c r="E138" s="977"/>
      <c r="F138" s="977"/>
      <c r="G138"/>
    </row>
    <row r="139" spans="1:7" ht="25.5" hidden="1" customHeight="1">
      <c r="D139" s="977"/>
      <c r="E139" s="977"/>
      <c r="F139" s="977"/>
      <c r="G139"/>
    </row>
    <row r="140" spans="1:7" ht="13.95" customHeight="1">
      <c r="G140"/>
    </row>
    <row r="141" spans="1:7" ht="13.95" customHeight="1">
      <c r="B141" s="609" t="s">
        <v>79</v>
      </c>
      <c r="D141" s="970" t="s">
        <v>1730</v>
      </c>
      <c r="E141" s="977"/>
      <c r="F141" s="977"/>
      <c r="G141"/>
    </row>
    <row r="142" spans="1:7" ht="13.95" customHeight="1">
      <c r="D142" s="977"/>
      <c r="E142" s="977"/>
      <c r="F142" s="977"/>
      <c r="G142"/>
    </row>
    <row r="143" spans="1:7" ht="13.95" customHeight="1">
      <c r="D143" s="977"/>
      <c r="E143" s="977"/>
      <c r="F143" s="977"/>
      <c r="G143"/>
    </row>
    <row r="144" spans="1:7" ht="13.95" customHeight="1">
      <c r="D144" s="977"/>
      <c r="E144" s="977"/>
      <c r="F144" s="977"/>
      <c r="G144"/>
    </row>
    <row r="145" spans="1:7" ht="13.95" customHeight="1">
      <c r="D145" s="977"/>
      <c r="E145" s="977"/>
      <c r="F145" s="977"/>
      <c r="G145"/>
    </row>
    <row r="146" spans="1:7" ht="13.95" customHeight="1">
      <c r="A146" s="18"/>
      <c r="B146" s="18"/>
      <c r="D146" s="977"/>
      <c r="E146" s="977"/>
      <c r="F146" s="977"/>
      <c r="G146"/>
    </row>
    <row r="147" spans="1:7" ht="13.95" customHeight="1">
      <c r="A147" s="18"/>
      <c r="B147" s="18"/>
      <c r="D147" s="977"/>
      <c r="E147" s="977"/>
      <c r="F147" s="977"/>
      <c r="G147"/>
    </row>
    <row r="148" spans="1:7" ht="13.95" customHeight="1">
      <c r="A148" s="18"/>
      <c r="B148" s="18"/>
      <c r="D148" s="977"/>
      <c r="E148" s="977"/>
      <c r="F148" s="977"/>
      <c r="G148"/>
    </row>
    <row r="149" spans="1:7" ht="13.95" customHeight="1">
      <c r="A149" s="18"/>
      <c r="B149" s="18"/>
      <c r="D149" s="977"/>
      <c r="E149" s="977"/>
      <c r="F149" s="977"/>
      <c r="G149"/>
    </row>
    <row r="150" spans="1:7" ht="13.95" customHeight="1">
      <c r="A150" s="18"/>
      <c r="B150" s="18"/>
      <c r="D150" s="977"/>
      <c r="E150" s="977"/>
      <c r="F150" s="977"/>
      <c r="G150"/>
    </row>
    <row r="151" spans="1:7" ht="13.95" customHeight="1">
      <c r="A151" s="18"/>
      <c r="B151" s="18"/>
      <c r="D151" s="977"/>
      <c r="E151" s="977"/>
      <c r="F151" s="977"/>
      <c r="G151"/>
    </row>
    <row r="152" spans="1:7" ht="13.95" customHeight="1">
      <c r="A152" s="18"/>
      <c r="B152" s="18"/>
      <c r="D152" s="977"/>
      <c r="E152" s="977"/>
      <c r="F152" s="977"/>
      <c r="G152"/>
    </row>
    <row r="153" spans="1:7" ht="13.95" customHeight="1">
      <c r="A153" s="18"/>
      <c r="B153" s="18"/>
      <c r="D153" s="977"/>
      <c r="E153" s="977"/>
      <c r="F153" s="977"/>
      <c r="G153"/>
    </row>
    <row r="154" spans="1:7" ht="13.95" customHeight="1">
      <c r="A154" s="18"/>
      <c r="B154" s="18"/>
      <c r="D154" s="977"/>
      <c r="E154" s="977"/>
      <c r="F154" s="977"/>
      <c r="G154"/>
    </row>
    <row r="155" spans="1:7" ht="13.95" customHeight="1">
      <c r="A155" s="18"/>
      <c r="B155" s="18"/>
      <c r="D155" s="977"/>
      <c r="E155" s="977"/>
      <c r="F155" s="977"/>
      <c r="G155"/>
    </row>
    <row r="156" spans="1:7" ht="13.95" customHeight="1">
      <c r="A156" s="18"/>
      <c r="B156" s="18"/>
      <c r="D156" s="977"/>
      <c r="E156" s="977"/>
      <c r="F156" s="977"/>
      <c r="G156"/>
    </row>
    <row r="157" spans="1:7" ht="13.95" customHeight="1">
      <c r="A157" s="18"/>
      <c r="B157" s="18"/>
      <c r="D157" s="977"/>
      <c r="E157" s="977"/>
      <c r="F157" s="977"/>
      <c r="G157"/>
    </row>
    <row r="158" spans="1:7" ht="13.95" customHeight="1">
      <c r="A158" s="18"/>
      <c r="B158" s="18"/>
      <c r="D158" s="977"/>
      <c r="E158" s="977"/>
      <c r="F158" s="977"/>
      <c r="G158"/>
    </row>
    <row r="159" spans="1:7" ht="13.95" customHeight="1">
      <c r="A159" s="18"/>
      <c r="B159" s="18"/>
      <c r="D159" s="1026" t="s">
        <v>1731</v>
      </c>
      <c r="E159" s="1026"/>
      <c r="F159" s="1026"/>
      <c r="G159"/>
    </row>
    <row r="160" spans="1:7" ht="13.95" customHeight="1">
      <c r="A160" s="18"/>
      <c r="B160" s="18"/>
      <c r="D160" s="44"/>
      <c r="G160"/>
    </row>
    <row r="161" spans="1:7" ht="13.95" customHeight="1">
      <c r="A161" s="271"/>
      <c r="B161" s="609" t="s">
        <v>79</v>
      </c>
      <c r="D161" s="1024" t="s">
        <v>2297</v>
      </c>
      <c r="E161" s="1025"/>
      <c r="F161" s="1025"/>
      <c r="G161"/>
    </row>
    <row r="162" spans="1:7" ht="13.95" customHeight="1">
      <c r="A162" s="271"/>
      <c r="B162" s="18"/>
      <c r="D162" s="1024"/>
      <c r="E162" s="1025"/>
      <c r="F162" s="1025"/>
      <c r="G162"/>
    </row>
    <row r="163" spans="1:7" ht="13.95" customHeight="1">
      <c r="A163" s="271"/>
      <c r="B163" s="18"/>
      <c r="D163" s="1025"/>
      <c r="E163" s="1025"/>
      <c r="F163" s="1025"/>
      <c r="G163"/>
    </row>
    <row r="164" spans="1:7" ht="13.95" customHeight="1">
      <c r="A164" s="271"/>
      <c r="B164" s="18"/>
      <c r="D164" s="1025"/>
      <c r="E164" s="1025"/>
      <c r="F164" s="1025"/>
      <c r="G164"/>
    </row>
    <row r="165" spans="1:7" ht="13.95" customHeight="1">
      <c r="A165" s="18"/>
      <c r="B165" s="18"/>
      <c r="D165" s="1025"/>
      <c r="E165" s="1025"/>
      <c r="F165" s="1025"/>
      <c r="G165"/>
    </row>
    <row r="166" spans="1:7" ht="13.95" customHeight="1">
      <c r="A166" s="18"/>
      <c r="B166" s="18"/>
      <c r="D166" s="44"/>
      <c r="G166"/>
    </row>
    <row r="167" spans="1:7" ht="13.95" customHeight="1">
      <c r="A167" s="271"/>
      <c r="B167" s="609" t="s">
        <v>79</v>
      </c>
      <c r="D167" s="1025" t="s">
        <v>1549</v>
      </c>
      <c r="E167" s="1025"/>
      <c r="F167" s="1025"/>
      <c r="G167"/>
    </row>
    <row r="168" spans="1:7" ht="13.95" customHeight="1">
      <c r="A168" s="18"/>
      <c r="B168" s="18"/>
      <c r="D168" s="1025"/>
      <c r="E168" s="1025"/>
      <c r="F168" s="1025"/>
    </row>
    <row r="169" spans="1:7" ht="13.95" customHeight="1">
      <c r="A169" s="18"/>
      <c r="B169" s="18"/>
      <c r="D169" s="1025"/>
      <c r="E169" s="1025"/>
      <c r="F169" s="1025"/>
    </row>
    <row r="170" spans="1:7" ht="13.95" customHeight="1">
      <c r="A170" s="18"/>
      <c r="B170" s="18"/>
      <c r="D170" s="1025"/>
      <c r="E170" s="1025"/>
      <c r="F170" s="1025"/>
    </row>
    <row r="171" spans="1:7" ht="13.95" customHeight="1">
      <c r="A171" s="18"/>
      <c r="B171" s="18"/>
      <c r="D171" s="44"/>
    </row>
    <row r="172" spans="1:7" ht="13.95" customHeight="1">
      <c r="A172" s="370"/>
      <c r="B172" s="609" t="s">
        <v>79</v>
      </c>
      <c r="C172" s="370"/>
      <c r="D172" s="1028" t="s">
        <v>2137</v>
      </c>
      <c r="E172" s="1028"/>
      <c r="F172" s="1028"/>
      <c r="G172" s="361"/>
    </row>
    <row r="173" spans="1:7" ht="13.95" customHeight="1">
      <c r="A173" s="370"/>
      <c r="B173" s="370"/>
      <c r="C173" s="370"/>
      <c r="D173" s="1028"/>
      <c r="E173" s="1028"/>
      <c r="F173" s="1028"/>
      <c r="G173" s="361"/>
    </row>
    <row r="174" spans="1:7" ht="13.95" customHeight="1">
      <c r="A174" s="370"/>
      <c r="B174" s="370"/>
      <c r="C174" s="370"/>
      <c r="D174" s="1028"/>
      <c r="E174" s="1028"/>
      <c r="F174" s="1028"/>
      <c r="G174" s="361"/>
    </row>
    <row r="175" spans="1:7" ht="13.2">
      <c r="A175" s="370"/>
      <c r="B175" s="370"/>
      <c r="C175" s="370"/>
      <c r="D175" s="372"/>
      <c r="E175" s="361"/>
      <c r="F175" s="361"/>
      <c r="G175" s="361"/>
    </row>
    <row r="176" spans="1:7" ht="13.2">
      <c r="A176" s="1031" t="s">
        <v>1383</v>
      </c>
      <c r="B176" s="1031"/>
      <c r="C176" s="1031"/>
      <c r="D176" s="1031"/>
      <c r="E176" s="1031"/>
      <c r="F176" s="1031"/>
      <c r="G176" s="1031"/>
    </row>
    <row r="177" spans="1:6" ht="13.2">
      <c r="D177" s="44"/>
    </row>
    <row r="178" spans="1:6" ht="13.2">
      <c r="C178" s="590"/>
      <c r="D178" s="1027" t="s">
        <v>1382</v>
      </c>
      <c r="E178" s="1027"/>
      <c r="F178" s="1027"/>
    </row>
    <row r="179" spans="1:6" ht="13.2">
      <c r="A179" s="190"/>
      <c r="B179" s="190"/>
      <c r="C179" s="190"/>
      <c r="D179" s="1029" t="s">
        <v>1415</v>
      </c>
      <c r="E179" s="1029"/>
      <c r="F179" s="1029"/>
    </row>
    <row r="180" spans="1:6" ht="13.2">
      <c r="A180" s="191"/>
      <c r="B180" s="191"/>
      <c r="C180" s="191"/>
    </row>
    <row r="181" spans="1:6" ht="14.4">
      <c r="A181" s="271"/>
      <c r="B181" s="609" t="s">
        <v>79</v>
      </c>
      <c r="D181" s="1030" t="s">
        <v>1733</v>
      </c>
      <c r="E181" s="1007"/>
      <c r="F181" s="1007"/>
    </row>
    <row r="182" spans="1:6" ht="14.4">
      <c r="A182" s="271"/>
      <c r="D182" s="312"/>
      <c r="E182" s="102"/>
      <c r="F182" s="102"/>
    </row>
    <row r="183" spans="1:6" ht="14.4">
      <c r="A183" s="271"/>
      <c r="B183" s="609" t="s">
        <v>79</v>
      </c>
      <c r="D183" s="1007" t="s">
        <v>1550</v>
      </c>
      <c r="E183" s="1007"/>
      <c r="F183" s="1007"/>
    </row>
    <row r="184" spans="1:6" ht="14.4">
      <c r="A184" s="271"/>
      <c r="D184" s="102"/>
      <c r="E184" s="102"/>
      <c r="F184" s="102"/>
    </row>
    <row r="185" spans="1:6" ht="14.4">
      <c r="A185" s="271"/>
      <c r="B185" s="609" t="s">
        <v>79</v>
      </c>
      <c r="D185" s="1032" t="s">
        <v>1810</v>
      </c>
      <c r="E185" s="1032"/>
      <c r="F185" s="1032"/>
    </row>
    <row r="186" spans="1:6" ht="13.65" customHeight="1">
      <c r="A186" s="271"/>
      <c r="D186" s="41" t="s">
        <v>900</v>
      </c>
      <c r="E186" s="970" t="s">
        <v>2132</v>
      </c>
      <c r="F186" s="970"/>
    </row>
    <row r="187" spans="1:6" ht="14.4">
      <c r="A187" s="271"/>
      <c r="D187" s="776"/>
      <c r="E187" s="970"/>
      <c r="F187" s="970"/>
    </row>
    <row r="188" spans="1:6" ht="14.4">
      <c r="A188" s="271"/>
      <c r="D188" s="776"/>
      <c r="E188" s="970"/>
      <c r="F188" s="970"/>
    </row>
    <row r="189" spans="1:6" ht="14.4">
      <c r="A189" s="271"/>
      <c r="D189"/>
      <c r="E189" s="970"/>
      <c r="F189" s="970"/>
    </row>
    <row r="190" spans="1:6" ht="13.65" customHeight="1">
      <c r="A190" s="271"/>
      <c r="D190" s="776" t="s">
        <v>901</v>
      </c>
      <c r="E190" s="970" t="s">
        <v>1811</v>
      </c>
      <c r="F190" s="970"/>
    </row>
    <row r="191" spans="1:6" ht="13.65" customHeight="1">
      <c r="A191" s="271"/>
      <c r="D191" s="776"/>
      <c r="E191" s="970"/>
      <c r="F191" s="970"/>
    </row>
    <row r="192" spans="1:6" ht="13.65" customHeight="1">
      <c r="A192" s="271"/>
      <c r="D192" s="776"/>
      <c r="E192" s="970"/>
      <c r="F192" s="970"/>
    </row>
    <row r="193" spans="1:7" ht="13.65" customHeight="1">
      <c r="A193" s="271"/>
      <c r="D193" s="776"/>
      <c r="E193" s="970"/>
      <c r="F193" s="970"/>
    </row>
    <row r="194" spans="1:7" ht="13.65"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79</v>
      </c>
      <c r="D198" s="970" t="s">
        <v>2300</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2302</v>
      </c>
      <c r="E202" s="1026"/>
      <c r="F202" s="1026"/>
    </row>
    <row r="203" spans="1:7" ht="13.2">
      <c r="D203" s="625"/>
      <c r="E203" s="625"/>
      <c r="F203" s="625"/>
    </row>
    <row r="204" spans="1:7" ht="14.4">
      <c r="A204" s="271"/>
      <c r="B204" s="609" t="s">
        <v>79</v>
      </c>
      <c r="D204" s="999" t="s">
        <v>2303</v>
      </c>
      <c r="E204" s="997"/>
      <c r="F204" s="997"/>
    </row>
    <row r="205" spans="1:7" ht="13.2"/>
    <row r="206" spans="1:7" ht="13.2">
      <c r="A206" s="1031" t="s">
        <v>1385</v>
      </c>
      <c r="B206" s="1031"/>
      <c r="C206" s="1031"/>
      <c r="D206" s="1031"/>
      <c r="E206" s="1031"/>
      <c r="F206" s="1031"/>
      <c r="G206" s="1031"/>
    </row>
    <row r="207" spans="1:7" ht="13.2"/>
    <row r="208" spans="1:7" ht="13.2">
      <c r="C208" s="591"/>
      <c r="D208" s="1027" t="s">
        <v>1384</v>
      </c>
      <c r="E208" s="1027"/>
      <c r="F208" s="1027"/>
    </row>
    <row r="209" spans="1:6" ht="13.2">
      <c r="A209" s="592"/>
      <c r="B209" s="592"/>
      <c r="C209" s="591"/>
      <c r="D209" s="1027" t="s">
        <v>697</v>
      </c>
      <c r="E209" s="1027"/>
      <c r="F209" s="1027"/>
    </row>
    <row r="210" spans="1:6" ht="13.2">
      <c r="A210" s="190"/>
      <c r="B210" s="190"/>
      <c r="C210" s="190"/>
      <c r="D210" s="1007" t="s">
        <v>1416</v>
      </c>
      <c r="E210" s="1007"/>
      <c r="F210" s="1007"/>
    </row>
    <row r="211" spans="1:6" ht="13.2">
      <c r="A211" s="190"/>
      <c r="B211" s="190"/>
      <c r="C211" s="190"/>
    </row>
    <row r="212" spans="1:6" ht="13.2">
      <c r="A212" s="190"/>
      <c r="B212" s="190"/>
      <c r="C212" s="190"/>
      <c r="D212" s="977" t="s">
        <v>1426</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2138</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4" customHeight="1">
      <c r="A224" s="271"/>
      <c r="B224" s="609" t="s">
        <v>79</v>
      </c>
      <c r="C224" s="191"/>
      <c r="D224" s="997" t="s">
        <v>292</v>
      </c>
      <c r="E224" s="997"/>
      <c r="F224" s="997"/>
    </row>
    <row r="225" spans="1:6" ht="14.4">
      <c r="A225" s="271"/>
      <c r="C225" s="191"/>
      <c r="D225" s="1007" t="s">
        <v>1111</v>
      </c>
      <c r="E225" s="1007"/>
      <c r="F225" s="1007"/>
    </row>
    <row r="226" spans="1:6" ht="14.4">
      <c r="A226" s="271"/>
      <c r="B226" s="271"/>
      <c r="C226" s="191"/>
      <c r="D226" s="104" t="s">
        <v>1430</v>
      </c>
      <c r="E226" s="1037" t="s">
        <v>2067</v>
      </c>
      <c r="F226" s="1037"/>
    </row>
    <row r="227" spans="1:6" ht="13.2">
      <c r="D227" s="1030" t="s">
        <v>1409</v>
      </c>
      <c r="E227" s="1007"/>
      <c r="F227" s="1007"/>
    </row>
    <row r="228" spans="1:6" ht="13.2"/>
    <row r="229" spans="1:6" ht="14.4">
      <c r="A229" s="271"/>
      <c r="B229" s="609" t="s">
        <v>79</v>
      </c>
      <c r="D229" s="1007" t="s">
        <v>293</v>
      </c>
      <c r="E229" s="1007"/>
      <c r="F229" s="1007"/>
    </row>
    <row r="230" spans="1:6" ht="14.4">
      <c r="A230" s="271"/>
      <c r="D230" s="997" t="s">
        <v>1111</v>
      </c>
      <c r="E230" s="997"/>
      <c r="F230" s="997"/>
    </row>
    <row r="231" spans="1:6" ht="14.4">
      <c r="A231" s="271"/>
      <c r="B231" s="271"/>
      <c r="D231" s="63" t="s">
        <v>1431</v>
      </c>
      <c r="E231" s="1037" t="s">
        <v>2068</v>
      </c>
      <c r="F231" s="1037"/>
    </row>
    <row r="232" spans="1:6" ht="13.2">
      <c r="D232" s="1007" t="s">
        <v>1410</v>
      </c>
      <c r="E232" s="1007"/>
      <c r="F232" s="1007"/>
    </row>
    <row r="233" spans="1:6" ht="13.2"/>
    <row r="234" spans="1:6" ht="14.4">
      <c r="A234" s="271"/>
      <c r="B234" s="609" t="s">
        <v>79</v>
      </c>
      <c r="D234" s="1007" t="s">
        <v>641</v>
      </c>
      <c r="E234" s="1007"/>
      <c r="F234" s="1007"/>
    </row>
    <row r="235" spans="1:6" ht="14.4">
      <c r="A235" s="271"/>
      <c r="D235" s="44" t="s">
        <v>1111</v>
      </c>
    </row>
    <row r="236" spans="1:6" ht="14.4">
      <c r="A236" s="271"/>
      <c r="B236" s="271"/>
      <c r="D236" s="63" t="s">
        <v>1430</v>
      </c>
      <c r="E236" s="1037" t="s">
        <v>2069</v>
      </c>
      <c r="F236" s="1037"/>
    </row>
    <row r="237" spans="1:6" ht="14.4">
      <c r="A237" s="271"/>
      <c r="B237" s="271"/>
      <c r="D237" s="977" t="s">
        <v>1433</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1411</v>
      </c>
      <c r="E242" s="977"/>
      <c r="F242" s="977"/>
    </row>
    <row r="243" spans="1:6" ht="13.2">
      <c r="D243" s="44"/>
    </row>
    <row r="244" spans="1:6" ht="14.4">
      <c r="A244" s="271"/>
      <c r="B244" s="609" t="s">
        <v>79</v>
      </c>
      <c r="D244" s="1007" t="s">
        <v>642</v>
      </c>
      <c r="E244" s="1007"/>
      <c r="F244" s="1007"/>
    </row>
    <row r="245" spans="1:6" ht="14.4">
      <c r="A245" s="271"/>
      <c r="D245" s="1007" t="s">
        <v>1111</v>
      </c>
      <c r="E245" s="1007"/>
      <c r="F245" s="1007"/>
    </row>
    <row r="246" spans="1:6" ht="14.4">
      <c r="A246" s="271"/>
      <c r="B246" s="271"/>
      <c r="D246" s="63" t="s">
        <v>1430</v>
      </c>
      <c r="E246" s="1037" t="s">
        <v>2070</v>
      </c>
      <c r="F246" s="1037"/>
    </row>
    <row r="247" spans="1:6" ht="13.2">
      <c r="D247" s="1030" t="s">
        <v>1930</v>
      </c>
      <c r="E247" s="1007"/>
      <c r="F247" s="1007"/>
    </row>
    <row r="248" spans="1:6" ht="13.2">
      <c r="D248" s="102"/>
      <c r="E248" s="102"/>
      <c r="F248" s="102"/>
    </row>
    <row r="249" spans="1:6" ht="14.4">
      <c r="A249" s="271"/>
      <c r="B249" s="609" t="s">
        <v>79</v>
      </c>
      <c r="D249" s="1030" t="s">
        <v>1929</v>
      </c>
      <c r="E249" s="1007"/>
      <c r="F249" s="1007"/>
    </row>
    <row r="250" spans="1:6" ht="14.4">
      <c r="A250" s="271"/>
      <c r="D250" s="1007" t="s">
        <v>1111</v>
      </c>
      <c r="E250" s="1007"/>
      <c r="F250" s="1007"/>
    </row>
    <row r="251" spans="1:6" ht="14.4">
      <c r="A251" s="271"/>
      <c r="B251" s="271"/>
      <c r="D251" s="63" t="s">
        <v>1430</v>
      </c>
      <c r="E251" s="1037" t="s">
        <v>2071</v>
      </c>
      <c r="F251" s="1037"/>
    </row>
    <row r="252" spans="1:6" ht="13.2">
      <c r="D252" s="1030" t="s">
        <v>1931</v>
      </c>
      <c r="E252" s="1007"/>
      <c r="F252" s="1007"/>
    </row>
    <row r="253" spans="1:6" ht="13.2">
      <c r="D253" s="44"/>
    </row>
    <row r="254" spans="1:6" ht="14.4">
      <c r="A254" s="271"/>
      <c r="B254" s="609" t="s">
        <v>79</v>
      </c>
      <c r="D254" s="102" t="s">
        <v>1453</v>
      </c>
      <c r="E254" s="102"/>
      <c r="F254" s="102"/>
    </row>
    <row r="255" spans="1:6" ht="14.4">
      <c r="A255" s="271"/>
      <c r="B255"/>
      <c r="D255" s="970" t="s">
        <v>1754</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79</v>
      </c>
      <c r="D259" s="1007" t="s">
        <v>1022</v>
      </c>
      <c r="E259" s="1007"/>
      <c r="F259" s="1007"/>
    </row>
    <row r="260" spans="1:7" ht="14.4">
      <c r="A260" s="271"/>
      <c r="D260" s="102"/>
      <c r="E260" s="102"/>
      <c r="F260" s="102"/>
    </row>
    <row r="261" spans="1:7" ht="13.2">
      <c r="A261" s="1031" t="s">
        <v>1387</v>
      </c>
      <c r="B261" s="1031"/>
      <c r="C261" s="1031"/>
      <c r="D261" s="1031"/>
      <c r="E261" s="1031"/>
      <c r="F261" s="1031"/>
      <c r="G261" s="1031"/>
    </row>
    <row r="262" spans="1:7" ht="13.2">
      <c r="D262" s="44"/>
    </row>
    <row r="263" spans="1:7" ht="13.2">
      <c r="C263" s="590"/>
      <c r="D263" s="998" t="s">
        <v>1386</v>
      </c>
      <c r="E263" s="998"/>
      <c r="F263" s="998"/>
    </row>
    <row r="264" spans="1:7" ht="13.2">
      <c r="A264" s="190"/>
      <c r="B264" s="190"/>
      <c r="C264" s="190"/>
      <c r="D264" s="997" t="s">
        <v>1417</v>
      </c>
      <c r="E264" s="997"/>
      <c r="F264" s="997"/>
    </row>
    <row r="265" spans="1:7" ht="13.2">
      <c r="A265" s="18"/>
      <c r="B265" s="18"/>
      <c r="C265" s="18"/>
      <c r="D265" s="3"/>
    </row>
    <row r="266" spans="1:7" ht="13.2">
      <c r="A266" s="18"/>
      <c r="C266" s="18"/>
      <c r="D266" s="998" t="s">
        <v>209</v>
      </c>
      <c r="E266" s="998"/>
      <c r="F266" s="998"/>
      <c r="G266"/>
    </row>
    <row r="267" spans="1:7" ht="14.4" customHeight="1">
      <c r="A267" s="271"/>
      <c r="B267" s="609" t="s">
        <v>79</v>
      </c>
      <c r="C267" s="880"/>
      <c r="D267" s="1018" t="s">
        <v>2007</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4" customHeight="1">
      <c r="A270" s="271"/>
      <c r="B270" s="881"/>
      <c r="C270" s="880"/>
      <c r="D270" s="1018"/>
      <c r="E270" s="1018"/>
      <c r="F270" s="1018"/>
      <c r="G270"/>
    </row>
    <row r="271" spans="1:7" ht="14.4">
      <c r="A271" s="271"/>
      <c r="B271" s="881"/>
      <c r="C271" s="880"/>
      <c r="D271" s="882"/>
      <c r="E271" s="882"/>
      <c r="F271" s="882"/>
      <c r="G271"/>
    </row>
    <row r="272" spans="1:7" ht="14.4">
      <c r="A272" s="271"/>
      <c r="B272" s="609" t="s">
        <v>79</v>
      </c>
      <c r="C272" s="880"/>
      <c r="D272" s="1018" t="s">
        <v>2008</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1559</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4" customHeight="1">
      <c r="A284" s="289"/>
      <c r="B284" s="609" t="s">
        <v>79</v>
      </c>
      <c r="C284" s="798"/>
      <c r="D284" s="1020" t="s">
        <v>1924</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7" t="s">
        <v>1112</v>
      </c>
      <c r="E289" s="997"/>
      <c r="F289" s="997"/>
      <c r="G289"/>
    </row>
    <row r="290" spans="1:7" ht="14.4">
      <c r="A290" s="271"/>
      <c r="B290" s="271"/>
      <c r="D290" s="997" t="s">
        <v>1560</v>
      </c>
      <c r="E290" s="997"/>
      <c r="F290" s="997"/>
      <c r="G290"/>
    </row>
    <row r="291" spans="1:7" ht="14.4">
      <c r="A291" s="271"/>
      <c r="B291" s="271"/>
      <c r="D291" s="3" t="s">
        <v>1042</v>
      </c>
      <c r="E291" s="927" t="s">
        <v>2073</v>
      </c>
      <c r="F291" s="3"/>
    </row>
    <row r="292" spans="1:7" ht="13.2">
      <c r="D292" s="28"/>
    </row>
    <row r="293" spans="1:7" ht="14.4">
      <c r="A293" s="271"/>
      <c r="B293" s="609" t="s">
        <v>79</v>
      </c>
      <c r="D293" s="977" t="s">
        <v>1561</v>
      </c>
      <c r="E293" s="977"/>
      <c r="F293" s="977"/>
    </row>
    <row r="294" spans="1:7" ht="14.4">
      <c r="A294" s="271"/>
      <c r="B294" s="271"/>
      <c r="D294" s="977"/>
      <c r="E294" s="977"/>
      <c r="F294" s="977"/>
    </row>
    <row r="295" spans="1:7" ht="13.2">
      <c r="D295" s="28"/>
    </row>
    <row r="296" spans="1:7" ht="13.2">
      <c r="A296" s="1031" t="s">
        <v>1389</v>
      </c>
      <c r="B296" s="1031"/>
      <c r="C296" s="1031"/>
      <c r="D296" s="1031"/>
      <c r="E296" s="1031"/>
      <c r="F296" s="1031"/>
      <c r="G296" s="1031"/>
    </row>
    <row r="297" spans="1:7" ht="13.2">
      <c r="D297" s="28"/>
    </row>
    <row r="298" spans="1:7" ht="13.2">
      <c r="C298" s="590"/>
      <c r="D298" s="998" t="s">
        <v>1388</v>
      </c>
      <c r="E298" s="998"/>
      <c r="F298" s="998"/>
    </row>
    <row r="299" spans="1:7" ht="13.2">
      <c r="A299" s="190"/>
      <c r="B299" s="190"/>
      <c r="C299" s="190"/>
      <c r="D299" s="44"/>
    </row>
    <row r="300" spans="1:7" ht="13.2">
      <c r="A300" s="191"/>
      <c r="B300" s="191"/>
      <c r="C300" s="191"/>
      <c r="D300" s="998" t="s">
        <v>211</v>
      </c>
      <c r="E300" s="998"/>
      <c r="F300" s="998"/>
    </row>
    <row r="301" spans="1:7" ht="14.4" customHeight="1">
      <c r="A301" s="271"/>
      <c r="B301" s="609" t="s">
        <v>79</v>
      </c>
      <c r="D301" s="970" t="s">
        <v>1881</v>
      </c>
      <c r="E301" s="977"/>
      <c r="F301" s="977"/>
    </row>
    <row r="302" spans="1:7" ht="13.2">
      <c r="D302" s="977"/>
      <c r="E302" s="977"/>
      <c r="F302" s="977"/>
    </row>
    <row r="303" spans="1:7" ht="13.2">
      <c r="D303" s="977"/>
      <c r="E303" s="977"/>
      <c r="F303" s="977"/>
    </row>
    <row r="304" spans="1:7" ht="13.2">
      <c r="D304" s="24"/>
      <c r="E304" s="24"/>
      <c r="F304" s="24"/>
    </row>
    <row r="305" spans="1:7" s="448" customFormat="1" ht="14.4" customHeight="1">
      <c r="A305" s="289"/>
      <c r="B305" s="609" t="s">
        <v>79</v>
      </c>
      <c r="C305" s="798"/>
      <c r="D305" s="1020" t="s">
        <v>1925</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2074</v>
      </c>
      <c r="F308" s="373"/>
      <c r="G308" s="799"/>
    </row>
    <row r="309" spans="1:7" ht="13.2">
      <c r="D309" s="212"/>
    </row>
    <row r="310" spans="1:7" ht="13.2">
      <c r="A310" s="1031" t="s">
        <v>1390</v>
      </c>
      <c r="B310" s="1031"/>
      <c r="C310" s="1031"/>
      <c r="D310" s="1031"/>
      <c r="E310" s="1031"/>
      <c r="F310" s="1031"/>
      <c r="G310" s="1031"/>
    </row>
    <row r="311" spans="1:7" ht="13.2">
      <c r="D311" s="212"/>
    </row>
    <row r="312" spans="1:7" ht="13.2">
      <c r="C312" s="190"/>
      <c r="D312" s="1004" t="s">
        <v>1562</v>
      </c>
      <c r="E312" s="1004"/>
      <c r="F312" s="1004"/>
    </row>
    <row r="313" spans="1:7" ht="13.2">
      <c r="C313" s="190"/>
      <c r="D313" s="1004"/>
      <c r="E313" s="1004"/>
      <c r="F313" s="1004"/>
    </row>
    <row r="314" spans="1:7" ht="13.2">
      <c r="A314" s="191"/>
      <c r="B314" s="191"/>
      <c r="C314" s="191"/>
      <c r="D314" s="3"/>
    </row>
    <row r="315" spans="1:7" ht="13.2">
      <c r="C315" s="191"/>
      <c r="D315" s="998" t="s">
        <v>162</v>
      </c>
      <c r="E315" s="998"/>
      <c r="F315" s="998"/>
    </row>
    <row r="316" spans="1:7" ht="14.4">
      <c r="A316" s="271"/>
      <c r="B316" s="271"/>
      <c r="D316" s="1022" t="s">
        <v>1563</v>
      </c>
      <c r="E316" s="1022"/>
      <c r="F316" s="1022"/>
    </row>
    <row r="317" spans="1:7" ht="12" customHeight="1"/>
    <row r="318" spans="1:7" ht="14.4" customHeight="1">
      <c r="A318" s="271"/>
      <c r="B318" s="609" t="s">
        <v>79</v>
      </c>
      <c r="D318" s="977" t="s">
        <v>1564</v>
      </c>
      <c r="E318" s="977"/>
      <c r="F318" s="977"/>
    </row>
    <row r="319" spans="1:7" ht="14.4">
      <c r="A319" s="271"/>
      <c r="B319" s="271"/>
      <c r="D319" s="977"/>
      <c r="E319" s="977"/>
      <c r="F319" s="977"/>
    </row>
    <row r="320" spans="1:7" ht="13.2"/>
    <row r="321" spans="1:7" ht="14.4" customHeight="1">
      <c r="A321" s="271"/>
      <c r="B321" s="609" t="s">
        <v>79</v>
      </c>
      <c r="D321" s="977" t="s">
        <v>1565</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79</v>
      </c>
      <c r="D325" s="977" t="s">
        <v>1566</v>
      </c>
      <c r="E325" s="977"/>
      <c r="F325" s="977"/>
    </row>
    <row r="326" spans="1:7" ht="14.4">
      <c r="A326" s="271"/>
      <c r="B326" s="271"/>
      <c r="D326" s="977"/>
      <c r="E326" s="977"/>
      <c r="F326" s="977"/>
    </row>
    <row r="327" spans="1:7" ht="13.2">
      <c r="A327" s="18"/>
      <c r="B327" s="18"/>
      <c r="D327" s="44"/>
    </row>
    <row r="328" spans="1:7" ht="13.2">
      <c r="A328" s="1031" t="s">
        <v>1377</v>
      </c>
      <c r="B328" s="1031"/>
      <c r="C328" s="1031"/>
      <c r="D328" s="1031"/>
      <c r="E328" s="1031"/>
      <c r="F328" s="1031"/>
      <c r="G328" s="1031"/>
    </row>
    <row r="329" spans="1:7" ht="13.2">
      <c r="A329" s="18"/>
      <c r="B329" s="18"/>
      <c r="D329" s="44"/>
      <c r="G329"/>
    </row>
    <row r="330" spans="1:7" ht="13.2">
      <c r="C330" s="18"/>
      <c r="D330" s="998" t="s">
        <v>163</v>
      </c>
      <c r="E330" s="998"/>
      <c r="F330" s="998"/>
      <c r="G330"/>
    </row>
    <row r="331" spans="1:7" ht="13.2">
      <c r="C331" s="18"/>
      <c r="D331" s="997" t="s">
        <v>1418</v>
      </c>
      <c r="E331" s="997"/>
      <c r="F331" s="997"/>
      <c r="G331"/>
    </row>
    <row r="332" spans="1:7" ht="13.2">
      <c r="C332" s="18"/>
      <c r="D332" s="182"/>
      <c r="G332"/>
    </row>
    <row r="333" spans="1:7" ht="13.2">
      <c r="B333" s="609" t="s">
        <v>79</v>
      </c>
      <c r="D333" s="997" t="s">
        <v>1567</v>
      </c>
      <c r="E333" s="997"/>
      <c r="F333" s="997"/>
      <c r="G333"/>
    </row>
    <row r="334" spans="1:7" ht="14.4">
      <c r="A334" s="271"/>
      <c r="B334" s="271"/>
      <c r="D334" s="420"/>
      <c r="G334"/>
    </row>
    <row r="335" spans="1:7" ht="14.4">
      <c r="A335" s="271"/>
      <c r="B335" s="609" t="s">
        <v>79</v>
      </c>
      <c r="D335" s="997" t="s">
        <v>1568</v>
      </c>
      <c r="E335" s="997"/>
      <c r="F335" s="997"/>
      <c r="G335"/>
    </row>
    <row r="336" spans="1:7" ht="13.2">
      <c r="G336"/>
    </row>
    <row r="337" spans="1:7" ht="14.4" customHeight="1">
      <c r="A337" s="271"/>
      <c r="B337" s="609" t="s">
        <v>79</v>
      </c>
      <c r="D337" s="977" t="s">
        <v>1574</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4" customHeight="1">
      <c r="A353" s="271"/>
      <c r="B353" s="609" t="s">
        <v>79</v>
      </c>
      <c r="D353" s="977" t="s">
        <v>1569</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79</v>
      </c>
      <c r="D363" s="994" t="s">
        <v>2075</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2076</v>
      </c>
      <c r="F368" s="209"/>
    </row>
    <row r="369" spans="1:6" ht="13.8" thickBot="1">
      <c r="D369" s="777"/>
      <c r="E369" s="98"/>
      <c r="F369" s="98"/>
    </row>
    <row r="370" spans="1:6" ht="14.4" thickTop="1" thickBot="1">
      <c r="D370" s="1046" t="s">
        <v>1266</v>
      </c>
      <c r="E370" s="1046"/>
      <c r="F370" s="1046"/>
    </row>
    <row r="371" spans="1:6" ht="13.8" thickTop="1">
      <c r="D371" s="1047" t="s">
        <v>1570</v>
      </c>
      <c r="E371" s="1047"/>
      <c r="F371" s="1047"/>
    </row>
    <row r="372" spans="1:6" ht="13.2">
      <c r="D372" s="44"/>
    </row>
    <row r="373" spans="1:6" ht="14.4">
      <c r="A373" s="271"/>
      <c r="B373" s="609" t="s">
        <v>79</v>
      </c>
      <c r="C373" s="361"/>
      <c r="D373" s="1014" t="s">
        <v>2139</v>
      </c>
      <c r="E373" s="1014"/>
      <c r="F373" s="1014"/>
    </row>
    <row r="374" spans="1:6" ht="14.4">
      <c r="A374" s="271"/>
      <c r="B374" s="271"/>
      <c r="C374" s="361"/>
      <c r="D374" s="420"/>
    </row>
    <row r="375" spans="1:6" ht="14.4">
      <c r="A375" s="271"/>
      <c r="B375" s="609" t="s">
        <v>79</v>
      </c>
      <c r="C375" s="361"/>
      <c r="D375" s="984" t="s">
        <v>2140</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79</v>
      </c>
      <c r="C386" s="361"/>
      <c r="D386" s="1034" t="s">
        <v>1571</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1572</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65" customHeight="1">
      <c r="A400" s="361"/>
      <c r="B400" s="361"/>
      <c r="C400" s="361"/>
      <c r="D400" s="1034" t="s">
        <v>1575</v>
      </c>
      <c r="E400" s="1034"/>
      <c r="F400" s="1034"/>
    </row>
    <row r="401" spans="1:6" ht="13.65" customHeight="1">
      <c r="A401" s="361"/>
      <c r="B401" s="361"/>
      <c r="C401" s="361"/>
      <c r="D401" s="1034"/>
      <c r="E401" s="1034"/>
      <c r="F401" s="1034"/>
    </row>
    <row r="402" spans="1:6" ht="13.65" customHeight="1">
      <c r="A402" s="361"/>
      <c r="B402" s="361"/>
      <c r="C402" s="361"/>
      <c r="D402" s="1034"/>
      <c r="E402" s="1034"/>
      <c r="F402" s="1034"/>
    </row>
    <row r="403" spans="1:6" ht="13.65" customHeight="1">
      <c r="A403" s="361"/>
      <c r="B403" s="361"/>
      <c r="C403" s="361"/>
      <c r="D403" s="1034"/>
      <c r="E403" s="1034"/>
      <c r="F403" s="1034"/>
    </row>
    <row r="404" spans="1:6" ht="13.65" customHeight="1">
      <c r="A404" s="361"/>
      <c r="B404" s="361"/>
      <c r="C404" s="361"/>
      <c r="D404" s="1034"/>
      <c r="E404" s="1034"/>
      <c r="F404" s="1034"/>
    </row>
    <row r="405" spans="1:6" ht="13.65" customHeight="1">
      <c r="A405" s="361"/>
      <c r="B405" s="361"/>
      <c r="C405" s="361"/>
      <c r="D405" s="1034"/>
      <c r="E405" s="1034"/>
      <c r="F405" s="1034"/>
    </row>
    <row r="406" spans="1:6" ht="13.65" customHeight="1">
      <c r="A406" s="361"/>
      <c r="B406" s="361"/>
      <c r="C406" s="361"/>
      <c r="D406" s="1034"/>
      <c r="E406" s="1034"/>
      <c r="F406" s="1034"/>
    </row>
    <row r="407" spans="1:6" ht="13.65" customHeight="1">
      <c r="A407" s="361"/>
      <c r="B407" s="361"/>
      <c r="C407" s="361"/>
      <c r="D407" s="1034"/>
      <c r="E407" s="1034"/>
      <c r="F407" s="1034"/>
    </row>
    <row r="408" spans="1:6" ht="13.65" customHeight="1">
      <c r="A408" s="361"/>
      <c r="B408" s="361"/>
      <c r="C408" s="361"/>
      <c r="D408" s="1034"/>
      <c r="E408" s="1034"/>
      <c r="F408" s="1034"/>
    </row>
    <row r="409" spans="1:6" ht="13.65" customHeight="1">
      <c r="A409" s="361"/>
      <c r="B409" s="361"/>
      <c r="C409" s="361"/>
      <c r="D409" s="1034"/>
      <c r="E409" s="1034"/>
      <c r="F409" s="1034"/>
    </row>
    <row r="410" spans="1:6" ht="13.65" customHeight="1">
      <c r="A410" s="361"/>
      <c r="B410" s="361"/>
      <c r="C410" s="361"/>
      <c r="D410" s="1034"/>
      <c r="E410" s="1034"/>
      <c r="F410" s="1034"/>
    </row>
    <row r="411" spans="1:6" ht="13.65" customHeight="1">
      <c r="A411" s="361"/>
      <c r="B411" s="361"/>
      <c r="C411" s="361"/>
      <c r="D411" s="1034"/>
      <c r="E411" s="1034"/>
      <c r="F411" s="1034"/>
    </row>
    <row r="412" spans="1:6" ht="13.65" customHeight="1">
      <c r="A412" s="361"/>
      <c r="B412" s="361"/>
      <c r="C412" s="361"/>
      <c r="D412" s="1034"/>
      <c r="E412" s="1034"/>
      <c r="F412" s="1034"/>
    </row>
    <row r="413" spans="1:6" ht="13.65" customHeight="1">
      <c r="A413" s="361"/>
      <c r="B413" s="361"/>
      <c r="C413" s="361"/>
      <c r="D413" s="1034"/>
      <c r="E413" s="1034"/>
      <c r="F413" s="1034"/>
    </row>
    <row r="414" spans="1:6" ht="13.65" customHeight="1">
      <c r="A414" s="361"/>
      <c r="B414" s="361"/>
      <c r="C414" s="361"/>
      <c r="D414" s="1034"/>
      <c r="E414" s="1034"/>
      <c r="F414" s="1034"/>
    </row>
    <row r="415" spans="1:6" ht="13.65" customHeight="1">
      <c r="A415" s="361"/>
      <c r="B415" s="361"/>
      <c r="C415" s="361"/>
      <c r="D415" s="1034"/>
      <c r="E415" s="1034"/>
      <c r="F415" s="1034"/>
    </row>
    <row r="416" spans="1:6" ht="13.65" customHeight="1">
      <c r="A416" s="361"/>
      <c r="B416" s="361"/>
      <c r="C416" s="361"/>
      <c r="D416" s="1034"/>
      <c r="E416" s="1034"/>
      <c r="F416" s="1034"/>
    </row>
    <row r="417" spans="1:6" ht="13.65" customHeight="1">
      <c r="A417" s="361"/>
      <c r="B417" s="361"/>
      <c r="C417" s="361"/>
      <c r="D417" s="1034"/>
      <c r="E417" s="1034"/>
      <c r="F417" s="1034"/>
    </row>
    <row r="418" spans="1:6" ht="13.2">
      <c r="A418" s="361"/>
      <c r="B418" s="361"/>
      <c r="C418" s="361"/>
      <c r="D418" s="420"/>
    </row>
    <row r="419" spans="1:6" ht="13.65" customHeight="1">
      <c r="A419" s="361"/>
      <c r="B419" s="609" t="s">
        <v>79</v>
      </c>
      <c r="C419" s="361"/>
      <c r="D419" s="1034" t="s">
        <v>1573</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79</v>
      </c>
      <c r="C422" s="361"/>
      <c r="D422" s="1024" t="s">
        <v>1878</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4" customHeight="1">
      <c r="A428" s="271"/>
      <c r="B428" s="609" t="s">
        <v>79</v>
      </c>
      <c r="C428" s="361"/>
      <c r="D428" s="1024" t="s">
        <v>1859</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1874</v>
      </c>
      <c r="E432" s="1053"/>
      <c r="F432" s="1053"/>
    </row>
    <row r="433" spans="1:6" ht="13.2">
      <c r="D433" s="44"/>
    </row>
    <row r="434" spans="1:6" ht="14.4" customHeight="1">
      <c r="A434" s="271"/>
      <c r="B434" s="609" t="s">
        <v>79</v>
      </c>
      <c r="C434" s="207"/>
      <c r="D434" s="977" t="s">
        <v>2141</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79</v>
      </c>
      <c r="C466" s="207"/>
      <c r="D466" s="999" t="s">
        <v>2078</v>
      </c>
      <c r="E466" s="997"/>
      <c r="F466" s="997"/>
    </row>
    <row r="467" spans="1:6" ht="13.2">
      <c r="D467"/>
      <c r="E467" s="928" t="s">
        <v>2077</v>
      </c>
      <c r="F467" s="928"/>
    </row>
    <row r="468" spans="1:6" ht="13.65" customHeight="1">
      <c r="D468" s="970" t="s">
        <v>1856</v>
      </c>
      <c r="E468" s="977"/>
      <c r="F468" s="977"/>
    </row>
    <row r="469" spans="1:6" ht="13.65" customHeight="1">
      <c r="D469" s="977"/>
      <c r="E469" s="977"/>
      <c r="F469" s="977"/>
    </row>
    <row r="470" spans="1:6" ht="13.2">
      <c r="D470" s="44"/>
    </row>
    <row r="471" spans="1:6" ht="14.4" customHeight="1">
      <c r="A471" s="271"/>
      <c r="B471" s="609" t="s">
        <v>79</v>
      </c>
      <c r="C471" s="207"/>
      <c r="D471" s="977" t="s">
        <v>1576</v>
      </c>
      <c r="E471" s="977"/>
      <c r="F471" s="977"/>
    </row>
    <row r="472" spans="1:6" ht="13.2">
      <c r="D472" s="977"/>
      <c r="E472" s="977"/>
      <c r="F472" s="977"/>
    </row>
    <row r="473" spans="1:6" ht="13.2">
      <c r="D473" s="977"/>
      <c r="E473" s="977"/>
      <c r="F473" s="977"/>
    </row>
    <row r="474" spans="1:6" ht="13.2">
      <c r="D474" s="24"/>
      <c r="E474" s="24"/>
      <c r="F474" s="24"/>
    </row>
    <row r="475" spans="1:6" ht="14.4">
      <c r="B475" s="609" t="s">
        <v>79</v>
      </c>
      <c r="C475" s="271"/>
      <c r="D475" s="970" t="s">
        <v>1718</v>
      </c>
      <c r="E475" s="977"/>
      <c r="F475" s="977"/>
    </row>
    <row r="476" spans="1:6" ht="13.2">
      <c r="D476" s="977"/>
      <c r="E476" s="977"/>
      <c r="F476" s="977"/>
    </row>
    <row r="477" spans="1:6" ht="13.2">
      <c r="D477" s="44"/>
      <c r="E477" s="44"/>
    </row>
    <row r="478" spans="1:6" ht="14.4">
      <c r="B478" s="609" t="s">
        <v>79</v>
      </c>
      <c r="C478" s="271"/>
      <c r="D478" s="977" t="s">
        <v>1577</v>
      </c>
      <c r="E478" s="977"/>
      <c r="F478" s="977"/>
    </row>
    <row r="479" spans="1:6" ht="13.2">
      <c r="D479" s="977"/>
      <c r="E479" s="977"/>
      <c r="F479" s="977"/>
    </row>
    <row r="480" spans="1:6" ht="13.2">
      <c r="D480" s="977"/>
      <c r="E480" s="977"/>
      <c r="F480" s="977"/>
    </row>
    <row r="481" spans="2:6" ht="13.2">
      <c r="D481" s="977"/>
      <c r="E481" s="977"/>
      <c r="F481" s="977"/>
    </row>
    <row r="482" spans="2:6" ht="13.2">
      <c r="B482" s="609" t="s">
        <v>79</v>
      </c>
      <c r="D482" s="977"/>
      <c r="E482" s="977"/>
      <c r="F482" s="977"/>
    </row>
    <row r="483" spans="2:6" ht="13.2">
      <c r="D483" s="977"/>
      <c r="E483" s="977"/>
      <c r="F483" s="977"/>
    </row>
    <row r="484" spans="2:6" ht="13.2">
      <c r="D484" s="977"/>
      <c r="E484" s="977"/>
      <c r="F484" s="977"/>
    </row>
    <row r="485" spans="2:6" ht="13.2">
      <c r="B485" s="609" t="s">
        <v>79</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79</v>
      </c>
      <c r="D489" s="977"/>
      <c r="E489" s="977"/>
      <c r="F489" s="977"/>
    </row>
    <row r="490" spans="2:6" ht="13.2">
      <c r="D490" s="977"/>
      <c r="E490" s="977"/>
      <c r="F490" s="977"/>
    </row>
    <row r="491" spans="2:6" ht="13.2">
      <c r="B491" s="609" t="s">
        <v>79</v>
      </c>
      <c r="D491" s="977"/>
      <c r="E491" s="977"/>
      <c r="F491" s="977"/>
    </row>
    <row r="492" spans="2:6" ht="13.2">
      <c r="D492" s="977"/>
      <c r="E492" s="977"/>
      <c r="F492" s="977"/>
    </row>
    <row r="493" spans="2:6" ht="13.65" customHeight="1">
      <c r="B493" s="609" t="s">
        <v>79</v>
      </c>
      <c r="D493" s="977" t="s">
        <v>1578</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79</v>
      </c>
      <c r="D499" s="997" t="s">
        <v>1419</v>
      </c>
      <c r="E499" s="997"/>
      <c r="F499" s="997"/>
    </row>
    <row r="500" spans="1:7" ht="13.2">
      <c r="A500" s="44"/>
      <c r="B500" s="44"/>
    </row>
    <row r="501" spans="1:7" ht="13.2">
      <c r="A501" s="1031" t="s">
        <v>1378</v>
      </c>
      <c r="B501" s="1031"/>
      <c r="C501" s="1031"/>
      <c r="D501" s="1031"/>
      <c r="E501" s="1031"/>
      <c r="F501" s="1031"/>
      <c r="G501" s="1031"/>
    </row>
    <row r="502" spans="1:7" ht="13.2">
      <c r="A502" s="44"/>
      <c r="B502" s="44"/>
    </row>
    <row r="503" spans="1:7" ht="13.2">
      <c r="D503" s="1048" t="s">
        <v>1118</v>
      </c>
      <c r="E503" s="1048"/>
      <c r="F503" s="1048"/>
    </row>
    <row r="504" spans="1:7" ht="13.2">
      <c r="D504" s="1014" t="s">
        <v>1412</v>
      </c>
      <c r="E504" s="1014"/>
      <c r="F504" s="1014"/>
    </row>
    <row r="505" spans="1:7" ht="14.4">
      <c r="A505" s="271"/>
      <c r="B505" s="271"/>
      <c r="D505" s="420"/>
    </row>
    <row r="506" spans="1:7" ht="14.4">
      <c r="A506" s="271"/>
      <c r="B506" s="609" t="s">
        <v>79</v>
      </c>
      <c r="D506" s="1034" t="s">
        <v>1579</v>
      </c>
      <c r="E506" s="1034"/>
      <c r="F506" s="1034"/>
    </row>
    <row r="507" spans="1:7" ht="14.4">
      <c r="A507" s="271"/>
      <c r="B507" s="271"/>
      <c r="D507" s="1034"/>
      <c r="E507" s="1034"/>
      <c r="F507" s="1034"/>
    </row>
    <row r="508" spans="1:7" ht="14.4">
      <c r="A508" s="271"/>
      <c r="B508" s="271"/>
      <c r="D508" s="44"/>
    </row>
    <row r="509" spans="1:7" ht="14.4">
      <c r="A509" s="271"/>
      <c r="B509" s="609" t="s">
        <v>79</v>
      </c>
      <c r="D509" s="1049" t="s">
        <v>1875</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79</v>
      </c>
      <c r="D514" s="997" t="s">
        <v>1581</v>
      </c>
      <c r="E514" s="997"/>
      <c r="F514" s="997"/>
      <c r="G514"/>
    </row>
    <row r="515" spans="1:7" ht="13.2">
      <c r="D515" s="44"/>
      <c r="G515"/>
    </row>
    <row r="516" spans="1:7" ht="14.4">
      <c r="A516" s="271"/>
      <c r="B516" s="609" t="s">
        <v>79</v>
      </c>
      <c r="D516" s="977" t="s">
        <v>1582</v>
      </c>
      <c r="E516" s="977"/>
      <c r="F516" s="977"/>
      <c r="G516"/>
    </row>
    <row r="517" spans="1:7" ht="13.2">
      <c r="D517" s="977"/>
      <c r="E517" s="977"/>
      <c r="F517" s="977"/>
      <c r="G517"/>
    </row>
    <row r="518" spans="1:7" ht="13.2">
      <c r="D518" s="420"/>
      <c r="G518"/>
    </row>
    <row r="519" spans="1:7" ht="14.4">
      <c r="A519" s="271"/>
      <c r="B519" s="609" t="s">
        <v>79</v>
      </c>
      <c r="D519" s="997" t="s">
        <v>1580</v>
      </c>
      <c r="E519" s="997"/>
      <c r="F519" s="997"/>
    </row>
    <row r="520" spans="1:7" ht="14.4">
      <c r="A520" s="271"/>
      <c r="B520" s="271"/>
      <c r="D520" s="44"/>
    </row>
    <row r="521" spans="1:7" ht="13.2">
      <c r="A521" s="1031" t="s">
        <v>1379</v>
      </c>
      <c r="B521" s="1031"/>
      <c r="C521" s="1031"/>
      <c r="D521" s="1031"/>
      <c r="E521" s="1031"/>
      <c r="F521" s="1031"/>
      <c r="G521" s="1031"/>
    </row>
    <row r="522" spans="1:7" ht="12" customHeight="1">
      <c r="A522" s="271"/>
      <c r="B522" s="271"/>
      <c r="D522" s="44"/>
    </row>
    <row r="523" spans="1:7" ht="13.2">
      <c r="B523" s="609" t="s">
        <v>79</v>
      </c>
      <c r="C523" s="190"/>
      <c r="D523" s="1005" t="s">
        <v>1525</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79</v>
      </c>
      <c r="C528" s="207"/>
      <c r="D528" s="977" t="s">
        <v>2142</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1034" t="s">
        <v>2143</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1391</v>
      </c>
      <c r="B537" s="1031"/>
      <c r="C537" s="1031"/>
      <c r="D537" s="1031"/>
      <c r="E537" s="1031"/>
      <c r="F537" s="1031"/>
      <c r="G537" s="1031"/>
    </row>
    <row r="538" spans="1:7" ht="12" customHeight="1">
      <c r="A538" s="44"/>
      <c r="B538" s="44"/>
      <c r="C538" s="207"/>
      <c r="E538" s="44"/>
    </row>
    <row r="539" spans="1:7" ht="13.2">
      <c r="C539" s="207"/>
      <c r="D539" s="998" t="s">
        <v>1420</v>
      </c>
      <c r="E539" s="998"/>
      <c r="F539" s="998"/>
    </row>
    <row r="540" spans="1:7" ht="13.2"/>
    <row r="541" spans="1:7" ht="13.2">
      <c r="B541" s="609" t="s">
        <v>79</v>
      </c>
      <c r="D541" s="977" t="s">
        <v>1551</v>
      </c>
      <c r="E541" s="977"/>
      <c r="F541" s="977"/>
    </row>
    <row r="542" spans="1:7" ht="13.2">
      <c r="D542" s="977"/>
      <c r="E542" s="977"/>
      <c r="F542" s="977"/>
    </row>
    <row r="543" spans="1:7" ht="12" customHeight="1">
      <c r="A543" s="207"/>
      <c r="B543" s="207"/>
      <c r="C543" s="207"/>
      <c r="D543" s="44"/>
    </row>
    <row r="544" spans="1:7" ht="14.4">
      <c r="A544" s="271"/>
      <c r="B544" s="609" t="s">
        <v>79</v>
      </c>
      <c r="C544" s="207"/>
      <c r="D544" s="977" t="s">
        <v>1552</v>
      </c>
      <c r="E544" s="977"/>
      <c r="F544" s="977"/>
    </row>
    <row r="545" spans="1:7" ht="13.2">
      <c r="A545" s="207"/>
      <c r="B545" s="207"/>
      <c r="C545" s="207"/>
      <c r="D545" s="977"/>
      <c r="E545" s="977"/>
      <c r="F545" s="977"/>
    </row>
    <row r="546" spans="1:7" ht="12" customHeight="1">
      <c r="A546" s="207"/>
      <c r="B546" s="207"/>
      <c r="C546" s="207"/>
      <c r="D546" s="44"/>
    </row>
    <row r="547" spans="1:7" ht="13.2">
      <c r="A547" s="1009" t="s">
        <v>1427</v>
      </c>
      <c r="B547" s="1009"/>
      <c r="C547" s="1009"/>
      <c r="D547" s="1009"/>
      <c r="E547" s="1009"/>
      <c r="F547" s="1009"/>
      <c r="G547" s="1009"/>
    </row>
    <row r="548" spans="1:7" ht="12" customHeight="1">
      <c r="A548" s="44"/>
      <c r="B548" s="44"/>
      <c r="C548" s="207"/>
      <c r="D548" s="44"/>
    </row>
    <row r="549" spans="1:7" ht="13.2">
      <c r="C549" s="207"/>
      <c r="D549" s="998" t="s">
        <v>164</v>
      </c>
      <c r="E549" s="998"/>
      <c r="F549" s="998"/>
    </row>
    <row r="550" spans="1:7" ht="13.2">
      <c r="C550" s="207"/>
      <c r="D550" s="997" t="s">
        <v>1534</v>
      </c>
      <c r="E550" s="997"/>
      <c r="F550" s="997"/>
    </row>
    <row r="551" spans="1:7" ht="13.2">
      <c r="C551" s="207"/>
      <c r="D551" s="44"/>
      <c r="E551" s="44"/>
      <c r="F551" s="44"/>
    </row>
    <row r="552" spans="1:7" ht="14.4">
      <c r="A552" s="271"/>
      <c r="B552" s="609" t="s">
        <v>79</v>
      </c>
      <c r="C552" s="207"/>
      <c r="D552" s="997" t="s">
        <v>1113</v>
      </c>
      <c r="E552" s="997"/>
      <c r="F552" s="997"/>
    </row>
    <row r="553" spans="1:7" ht="12" customHeight="1">
      <c r="A553" s="207"/>
      <c r="B553" s="207"/>
      <c r="C553" s="207"/>
      <c r="D553" s="44"/>
      <c r="E553"/>
      <c r="F553"/>
      <c r="G553"/>
    </row>
    <row r="554" spans="1:7" ht="14.4" customHeight="1">
      <c r="A554" s="271"/>
      <c r="B554" s="609" t="s">
        <v>79</v>
      </c>
      <c r="C554" s="207"/>
      <c r="D554" s="977" t="s">
        <v>1533</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79</v>
      </c>
      <c r="C557" s="207"/>
      <c r="D557" s="977" t="s">
        <v>1535</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79</v>
      </c>
      <c r="C560" s="207"/>
      <c r="D560" s="977" t="s">
        <v>1536</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4" customHeight="1">
      <c r="A563" s="271"/>
      <c r="B563" s="609" t="s">
        <v>79</v>
      </c>
      <c r="C563" s="207"/>
      <c r="D563" s="977" t="s">
        <v>1537</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79</v>
      </c>
      <c r="C567" s="207"/>
      <c r="D567" s="970" t="s">
        <v>1631</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79</v>
      </c>
      <c r="C570" s="207"/>
      <c r="D570" s="977" t="s">
        <v>1538</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79</v>
      </c>
      <c r="C573" s="207"/>
      <c r="D573" s="997" t="s">
        <v>1539</v>
      </c>
      <c r="E573" s="997"/>
      <c r="F573" s="997"/>
      <c r="G573"/>
    </row>
    <row r="574" spans="1:7" ht="14.4">
      <c r="A574" s="271"/>
      <c r="B574" s="271"/>
      <c r="C574" s="207"/>
      <c r="D574" s="1038" t="s">
        <v>2081</v>
      </c>
      <c r="E574" s="1038"/>
      <c r="F574" s="1038"/>
      <c r="G574"/>
    </row>
    <row r="575" spans="1:7" ht="13.2">
      <c r="A575" s="18"/>
      <c r="B575" s="18"/>
      <c r="C575" s="207"/>
      <c r="D575" s="931"/>
      <c r="E575" s="104" t="s">
        <v>2082</v>
      </c>
      <c r="F575" s="932"/>
      <c r="G575"/>
    </row>
    <row r="576" spans="1:7" ht="15" customHeight="1">
      <c r="A576" s="18"/>
      <c r="B576" s="18"/>
      <c r="C576" s="207"/>
      <c r="D576" s="970" t="s">
        <v>1752</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79</v>
      </c>
      <c r="C586" s="207"/>
      <c r="D586" s="997" t="s">
        <v>1540</v>
      </c>
      <c r="E586" s="997"/>
      <c r="F586" s="997"/>
      <c r="G586"/>
    </row>
    <row r="587" spans="1:7" ht="13.65" customHeight="1">
      <c r="C587" s="207"/>
      <c r="D587" s="977" t="s">
        <v>1541</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4" customHeight="1">
      <c r="A591" s="271"/>
      <c r="B591" s="609" t="s">
        <v>79</v>
      </c>
      <c r="C591" s="207"/>
      <c r="D591" s="977" t="s">
        <v>2144</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79</v>
      </c>
      <c r="C596" s="191"/>
      <c r="D596" s="1030" t="s">
        <v>1813</v>
      </c>
      <c r="E596" s="1007"/>
      <c r="F596" s="1007"/>
    </row>
    <row r="597" spans="1:7" ht="13.2">
      <c r="A597" s="191"/>
      <c r="B597" s="191"/>
      <c r="C597" s="191"/>
    </row>
    <row r="598" spans="1:7" ht="13.2">
      <c r="A598" s="207"/>
      <c r="B598" s="207"/>
      <c r="C598" s="207"/>
      <c r="D598" s="24"/>
      <c r="E598" s="24"/>
      <c r="F598" s="24"/>
    </row>
    <row r="599" spans="1:7" ht="13.2">
      <c r="A599" s="1031" t="s">
        <v>1393</v>
      </c>
      <c r="B599" s="1031"/>
      <c r="C599" s="1031"/>
      <c r="D599" s="1031"/>
      <c r="E599" s="1031"/>
      <c r="F599" s="1031"/>
      <c r="G599" s="1031"/>
    </row>
    <row r="600" spans="1:7" ht="13.2">
      <c r="A600" s="207"/>
      <c r="B600" s="207"/>
      <c r="C600" s="207"/>
    </row>
    <row r="601" spans="1:7" ht="13.2">
      <c r="C601" s="190"/>
      <c r="D601" s="1004" t="s">
        <v>165</v>
      </c>
      <c r="E601" s="1004"/>
      <c r="F601" s="1004"/>
    </row>
    <row r="602" spans="1:7" ht="13.2">
      <c r="C602" s="190"/>
      <c r="D602" s="1000" t="s">
        <v>1442</v>
      </c>
      <c r="E602" s="1000"/>
      <c r="F602" s="1000"/>
    </row>
    <row r="603" spans="1:7" ht="13.2">
      <c r="C603" s="190"/>
      <c r="D603" s="371"/>
    </row>
    <row r="604" spans="1:7" ht="14.4">
      <c r="A604" s="271"/>
      <c r="B604" s="609" t="s">
        <v>79</v>
      </c>
      <c r="D604" s="1000" t="s">
        <v>1114</v>
      </c>
      <c r="E604" s="1000"/>
      <c r="F604" s="1000"/>
    </row>
    <row r="605" spans="1:7" ht="13.2">
      <c r="A605" s="18"/>
      <c r="B605" s="18"/>
      <c r="D605" s="361"/>
    </row>
    <row r="606" spans="1:7" ht="14.4" customHeight="1">
      <c r="A606" s="271"/>
      <c r="B606" s="609" t="s">
        <v>79</v>
      </c>
      <c r="D606" s="1000" t="s">
        <v>2145</v>
      </c>
      <c r="E606" s="1000"/>
      <c r="F606" s="1000"/>
    </row>
    <row r="607" spans="1:7" ht="14.4"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79</v>
      </c>
      <c r="D610" s="1000" t="s">
        <v>1443</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79</v>
      </c>
      <c r="D615" s="1000" t="s">
        <v>2146</v>
      </c>
      <c r="E615" s="1000"/>
      <c r="F615" s="1000"/>
    </row>
    <row r="616" spans="1:7" ht="14.4">
      <c r="A616" s="271"/>
      <c r="B616" s="271"/>
      <c r="D616" s="1000"/>
      <c r="E616" s="1000"/>
      <c r="F616" s="1000"/>
    </row>
    <row r="617" spans="1:7" ht="14.4">
      <c r="A617" s="271"/>
      <c r="B617" s="271"/>
      <c r="D617" s="371"/>
    </row>
    <row r="618" spans="1:7" ht="14.4" customHeight="1">
      <c r="A618" s="271"/>
      <c r="B618" s="609" t="s">
        <v>79</v>
      </c>
      <c r="D618" s="1000" t="s">
        <v>1447</v>
      </c>
      <c r="E618" s="1000"/>
      <c r="F618" s="1000"/>
    </row>
    <row r="619" spans="1:7" ht="14.4">
      <c r="A619" s="271"/>
      <c r="B619" s="271"/>
      <c r="D619" s="1000"/>
      <c r="E619" s="1000"/>
      <c r="F619" s="1000"/>
    </row>
    <row r="620" spans="1:7" ht="14.4">
      <c r="A620" s="271"/>
      <c r="B620" s="271"/>
      <c r="D620" s="371"/>
    </row>
    <row r="621" spans="1:7" ht="14.4">
      <c r="A621" s="271"/>
      <c r="B621" s="609" t="s">
        <v>79</v>
      </c>
      <c r="D621" s="1000" t="s">
        <v>1115</v>
      </c>
      <c r="E621" s="1000"/>
      <c r="F621" s="1000"/>
    </row>
    <row r="622" spans="1:7" ht="13.2">
      <c r="A622" s="18"/>
      <c r="B622" s="18"/>
    </row>
    <row r="623" spans="1:7" ht="13.2">
      <c r="A623" s="1031" t="s">
        <v>1395</v>
      </c>
      <c r="B623" s="1031"/>
      <c r="C623" s="1031"/>
      <c r="D623" s="1031"/>
      <c r="E623" s="1031"/>
      <c r="F623" s="1031"/>
      <c r="G623" s="1031"/>
    </row>
    <row r="624" spans="1:7" ht="13.2">
      <c r="A624" s="63"/>
      <c r="B624" s="63"/>
    </row>
    <row r="625" spans="1:7" ht="13.2">
      <c r="C625" s="191"/>
      <c r="D625" s="1027" t="s">
        <v>1394</v>
      </c>
      <c r="E625" s="1027"/>
      <c r="F625" s="1027"/>
    </row>
    <row r="626" spans="1:7" ht="13.2">
      <c r="C626" s="191"/>
      <c r="D626" s="1007" t="s">
        <v>1421</v>
      </c>
      <c r="E626" s="1007"/>
      <c r="F626" s="1007"/>
    </row>
    <row r="627" spans="1:7" ht="13.2">
      <c r="C627" s="191"/>
      <c r="D627" s="102"/>
      <c r="E627" s="102"/>
      <c r="F627" s="102"/>
    </row>
    <row r="628" spans="1:7" ht="14.25" customHeight="1">
      <c r="A628" s="271"/>
      <c r="B628" s="609" t="s">
        <v>79</v>
      </c>
      <c r="D628" s="1050" t="s">
        <v>2084</v>
      </c>
      <c r="E628" s="1051"/>
      <c r="F628" s="1051"/>
    </row>
    <row r="629" spans="1:7" ht="13.2">
      <c r="D629" s="1051"/>
      <c r="E629" s="1051"/>
      <c r="F629" s="1051"/>
    </row>
    <row r="630" spans="1:7" ht="13.2">
      <c r="D630" s="933"/>
      <c r="E630" s="927" t="s">
        <v>2083</v>
      </c>
      <c r="F630" s="933"/>
    </row>
    <row r="631" spans="1:7" ht="13.2">
      <c r="A631" s="63"/>
      <c r="B631" s="63"/>
    </row>
    <row r="632" spans="1:7" ht="12" customHeight="1">
      <c r="A632" s="1031" t="s">
        <v>1397</v>
      </c>
      <c r="B632" s="1031"/>
      <c r="C632" s="1031"/>
      <c r="D632" s="1031"/>
      <c r="E632" s="1031"/>
      <c r="F632" s="1031"/>
      <c r="G632" s="1031"/>
    </row>
    <row r="633" spans="1:7" ht="13.2">
      <c r="A633" s="44"/>
      <c r="B633" s="44"/>
    </row>
    <row r="634" spans="1:7" ht="13.2">
      <c r="C634" s="190"/>
      <c r="D634" s="998" t="s">
        <v>1396</v>
      </c>
      <c r="E634" s="998"/>
      <c r="F634" s="998"/>
    </row>
    <row r="635" spans="1:7" ht="13.2">
      <c r="A635" s="191"/>
      <c r="B635" s="191"/>
      <c r="C635" s="191"/>
      <c r="D635" s="997" t="s">
        <v>1553</v>
      </c>
      <c r="E635" s="997"/>
      <c r="F635" s="997"/>
    </row>
    <row r="636" spans="1:7" ht="13.2">
      <c r="A636" s="191"/>
      <c r="B636" s="191"/>
      <c r="C636" s="191"/>
    </row>
    <row r="637" spans="1:7" ht="14.4">
      <c r="A637" s="271"/>
      <c r="B637" s="271"/>
      <c r="D637" s="1027" t="s">
        <v>870</v>
      </c>
      <c r="E637" s="1027"/>
      <c r="F637" s="1027"/>
    </row>
    <row r="638" spans="1:7" ht="14.4">
      <c r="A638" s="271"/>
      <c r="B638" s="609" t="s">
        <v>79</v>
      </c>
      <c r="D638" s="1007" t="s">
        <v>1554</v>
      </c>
      <c r="E638" s="1007"/>
      <c r="F638" s="1007"/>
    </row>
    <row r="639" spans="1:7" ht="14.4">
      <c r="A639" s="271"/>
      <c r="B639" s="271"/>
      <c r="D639" s="44"/>
    </row>
    <row r="640" spans="1:7" ht="14.4">
      <c r="A640" s="271"/>
      <c r="B640" s="609" t="s">
        <v>79</v>
      </c>
      <c r="D640" s="977" t="s">
        <v>1555</v>
      </c>
      <c r="E640" s="977"/>
      <c r="F640" s="977"/>
    </row>
    <row r="641" spans="1:7" ht="14.4">
      <c r="A641" s="271"/>
      <c r="B641" s="271"/>
      <c r="D641" s="977"/>
      <c r="E641" s="977"/>
      <c r="F641" s="977"/>
    </row>
    <row r="642" spans="1:7" ht="14.4">
      <c r="A642" s="271"/>
      <c r="B642" s="271"/>
      <c r="D642" s="44"/>
    </row>
    <row r="643" spans="1:7" ht="14.4">
      <c r="A643" s="271"/>
      <c r="B643" s="609" t="s">
        <v>79</v>
      </c>
      <c r="D643" s="970" t="s">
        <v>1921</v>
      </c>
      <c r="E643" s="970"/>
      <c r="F643" s="970"/>
    </row>
    <row r="644" spans="1:7" ht="13.65" customHeight="1">
      <c r="D644" s="970"/>
      <c r="E644" s="970"/>
      <c r="F644" s="970"/>
    </row>
    <row r="645" spans="1:7" ht="13.2"/>
    <row r="646" spans="1:7" ht="14.4">
      <c r="A646" s="271"/>
      <c r="B646" s="609" t="s">
        <v>79</v>
      </c>
      <c r="D646" s="1007" t="s">
        <v>1556</v>
      </c>
      <c r="E646" s="1007"/>
      <c r="F646" s="1007"/>
    </row>
    <row r="647" spans="1:7" ht="13.2">
      <c r="A647" s="190"/>
      <c r="B647" s="190"/>
      <c r="C647" s="190"/>
    </row>
    <row r="648" spans="1:7" ht="13.2">
      <c r="A648" s="1031" t="s">
        <v>1398</v>
      </c>
      <c r="B648" s="1031"/>
      <c r="C648" s="1031"/>
      <c r="D648" s="1031"/>
      <c r="E648" s="1031"/>
      <c r="F648" s="1031"/>
      <c r="G648" s="1031"/>
    </row>
    <row r="649" spans="1:7" ht="13.2">
      <c r="A649" s="190"/>
      <c r="B649" s="190"/>
      <c r="C649" s="190"/>
    </row>
    <row r="650" spans="1:7" ht="13.2">
      <c r="C650" s="18"/>
      <c r="D650" s="1015" t="s">
        <v>1422</v>
      </c>
      <c r="E650" s="1015"/>
      <c r="F650" s="1015"/>
    </row>
    <row r="651" spans="1:7" ht="13.2">
      <c r="A651" s="18"/>
      <c r="B651" s="18"/>
      <c r="D651" s="3"/>
    </row>
    <row r="652" spans="1:7" ht="14.25" customHeight="1">
      <c r="A652" s="271"/>
      <c r="B652" s="609" t="s">
        <v>79</v>
      </c>
      <c r="D652" s="1050" t="s">
        <v>2147</v>
      </c>
      <c r="E652" s="1050"/>
      <c r="F652" s="1050"/>
    </row>
    <row r="653" spans="1:7" ht="14.4">
      <c r="A653" s="271"/>
      <c r="B653" s="271"/>
      <c r="D653" s="1050"/>
      <c r="E653" s="1050"/>
      <c r="F653" s="1050"/>
    </row>
    <row r="654" spans="1:7" ht="13.2">
      <c r="D654" s="933"/>
      <c r="E654" s="927" t="s">
        <v>2086</v>
      </c>
      <c r="F654" s="933"/>
    </row>
    <row r="655" spans="1:7" ht="13.2">
      <c r="D655" s="974" t="s">
        <v>2085</v>
      </c>
      <c r="E655" s="974"/>
      <c r="F655" s="974"/>
    </row>
    <row r="656" spans="1:7" ht="12.75" customHeight="1">
      <c r="D656" s="974"/>
      <c r="E656" s="974"/>
      <c r="F656" s="974"/>
    </row>
    <row r="657" spans="1:9" ht="13.2">
      <c r="B657"/>
      <c r="D657" s="974"/>
      <c r="E657" s="974"/>
      <c r="F657" s="974"/>
    </row>
    <row r="658" spans="1:9" ht="13.2"/>
    <row r="659" spans="1:9" ht="14.4">
      <c r="A659" s="303"/>
      <c r="B659" s="609" t="s">
        <v>79</v>
      </c>
      <c r="D659" s="1016" t="s">
        <v>1557</v>
      </c>
      <c r="E659" s="1016"/>
      <c r="F659" s="1016"/>
      <c r="G659" s="44"/>
    </row>
    <row r="660" spans="1:9" ht="14.4">
      <c r="A660" s="303"/>
      <c r="B660" s="303"/>
      <c r="D660" s="1016"/>
      <c r="E660" s="1016"/>
      <c r="F660" s="1016"/>
      <c r="G660" s="44"/>
    </row>
    <row r="661" spans="1:9" ht="14.4">
      <c r="A661" s="303"/>
      <c r="B661" s="303"/>
      <c r="D661" s="44"/>
      <c r="E661" s="44"/>
      <c r="F661" s="44"/>
      <c r="G661" s="44"/>
    </row>
    <row r="662" spans="1:9" ht="13.65" customHeight="1">
      <c r="A662" s="303"/>
      <c r="B662" s="609" t="s">
        <v>79</v>
      </c>
      <c r="D662" s="1018" t="s">
        <v>1814</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79</v>
      </c>
      <c r="C665" s="207"/>
      <c r="D665" s="1017" t="s">
        <v>1558</v>
      </c>
      <c r="E665" s="1017"/>
      <c r="F665" s="1017"/>
      <c r="G665" s="44"/>
    </row>
    <row r="666" spans="1:9" ht="13.2">
      <c r="A666" s="44"/>
      <c r="B666" s="44"/>
      <c r="C666" s="207"/>
      <c r="D666" s="44"/>
      <c r="E666" s="44"/>
      <c r="F666" s="44"/>
      <c r="G666" s="44"/>
      <c r="H666" s="267"/>
      <c r="I666" s="267"/>
    </row>
    <row r="667" spans="1:9" ht="13.2">
      <c r="A667" s="1031" t="s">
        <v>1400</v>
      </c>
      <c r="B667" s="1031"/>
      <c r="C667" s="1031"/>
      <c r="D667" s="1031"/>
      <c r="E667" s="1031"/>
      <c r="F667" s="1031"/>
      <c r="G667" s="1031"/>
    </row>
    <row r="668" spans="1:9" ht="13.2">
      <c r="A668" s="44"/>
      <c r="B668" s="44"/>
      <c r="C668" s="207"/>
      <c r="D668" s="44"/>
      <c r="E668" s="44"/>
      <c r="F668" s="44"/>
      <c r="G668" s="44"/>
    </row>
    <row r="669" spans="1:9" ht="13.2">
      <c r="C669" s="190"/>
      <c r="D669" s="998" t="s">
        <v>1399</v>
      </c>
      <c r="E669" s="998"/>
      <c r="F669" s="998"/>
      <c r="G669" s="44"/>
    </row>
    <row r="670" spans="1:9" ht="13.2">
      <c r="A670" s="191"/>
      <c r="B670" s="191"/>
      <c r="C670" s="191"/>
      <c r="D670" s="997" t="s">
        <v>1423</v>
      </c>
      <c r="E670" s="997"/>
      <c r="F670" s="997"/>
      <c r="G670" s="44"/>
    </row>
    <row r="671" spans="1:9" ht="13.2">
      <c r="A671" s="191"/>
      <c r="B671" s="191"/>
      <c r="C671" s="191"/>
      <c r="D671" s="44"/>
      <c r="E671" s="44"/>
      <c r="F671" s="44"/>
      <c r="G671" s="44"/>
    </row>
    <row r="672" spans="1:9" ht="14.4" customHeight="1">
      <c r="A672" s="271"/>
      <c r="B672" s="609" t="s">
        <v>79</v>
      </c>
      <c r="C672" s="207"/>
      <c r="D672" s="970" t="s">
        <v>1877</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79</v>
      </c>
      <c r="C679" s="207"/>
      <c r="D679" s="1001" t="s">
        <v>1440</v>
      </c>
      <c r="E679" s="1001"/>
      <c r="F679" s="1001"/>
      <c r="G679" s="44"/>
    </row>
    <row r="680" spans="1:7" ht="14.4" hidden="1">
      <c r="A680" s="271"/>
      <c r="B680" s="271"/>
      <c r="C680" s="207"/>
      <c r="D680" s="995" t="s">
        <v>2148</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1876</v>
      </c>
      <c r="E685" s="1019"/>
      <c r="F685" s="1019"/>
      <c r="G685" s="44"/>
    </row>
    <row r="686" spans="1:7" ht="13.2">
      <c r="A686" s="44"/>
      <c r="B686" s="44"/>
      <c r="C686" s="207"/>
      <c r="D686" s="44"/>
      <c r="E686" s="44"/>
      <c r="F686" s="44"/>
      <c r="G686" s="44"/>
    </row>
    <row r="687" spans="1:7" ht="13.2">
      <c r="A687" s="1031" t="s">
        <v>1401</v>
      </c>
      <c r="B687" s="1031"/>
      <c r="C687" s="1031"/>
      <c r="D687" s="1031"/>
      <c r="E687" s="1031"/>
      <c r="F687" s="1031"/>
      <c r="G687" s="1031"/>
    </row>
    <row r="688" spans="1:7" ht="13.2">
      <c r="A688" s="44"/>
      <c r="B688" s="44"/>
      <c r="C688" s="207"/>
      <c r="D688" s="44"/>
      <c r="E688" s="44"/>
      <c r="F688" s="44"/>
      <c r="G688" s="44"/>
    </row>
    <row r="689" spans="1:7" ht="13.2">
      <c r="C689" s="190"/>
      <c r="D689" s="998" t="s">
        <v>783</v>
      </c>
      <c r="E689" s="998"/>
      <c r="F689" s="998"/>
      <c r="G689" s="44"/>
    </row>
    <row r="690" spans="1:7" ht="13.2">
      <c r="A690" s="190"/>
      <c r="B690" s="190"/>
      <c r="C690" s="190"/>
      <c r="D690" s="998" t="s">
        <v>871</v>
      </c>
      <c r="E690" s="998"/>
      <c r="F690" s="998"/>
      <c r="G690" s="44"/>
    </row>
    <row r="691" spans="1:7" ht="13.2">
      <c r="A691" s="191"/>
      <c r="B691" s="191"/>
      <c r="C691" s="191"/>
      <c r="D691" s="997" t="s">
        <v>1524</v>
      </c>
      <c r="E691" s="997"/>
      <c r="F691" s="997"/>
    </row>
    <row r="692" spans="1:7" ht="14.25" customHeight="1">
      <c r="A692" s="191"/>
      <c r="B692" s="191"/>
      <c r="C692" s="191"/>
    </row>
    <row r="693" spans="1:7" ht="14.4">
      <c r="A693" s="271"/>
      <c r="B693" s="609" t="s">
        <v>79</v>
      </c>
      <c r="C693" s="191"/>
      <c r="D693" s="997" t="s">
        <v>1116</v>
      </c>
      <c r="E693" s="997"/>
      <c r="F693" s="997"/>
    </row>
    <row r="694" spans="1:7" ht="13.2">
      <c r="A694" s="191"/>
      <c r="B694" s="191"/>
      <c r="C694" s="191"/>
      <c r="D694" s="997" t="s">
        <v>1133</v>
      </c>
      <c r="E694" s="997"/>
      <c r="F694" s="997"/>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7" t="s">
        <v>2149</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79</v>
      </c>
      <c r="C702" s="191"/>
      <c r="D702" s="997" t="s">
        <v>1174</v>
      </c>
      <c r="E702" s="997"/>
      <c r="F702" s="997"/>
    </row>
    <row r="703" spans="1:7" ht="14.4">
      <c r="A703" s="271"/>
      <c r="B703" s="271"/>
      <c r="C703" s="191"/>
      <c r="D703" s="997" t="s">
        <v>1133</v>
      </c>
      <c r="E703" s="997"/>
      <c r="F703" s="997"/>
    </row>
    <row r="704" spans="1:7" ht="13.2">
      <c r="A704" s="191"/>
      <c r="B704" s="191"/>
      <c r="C704" s="191"/>
      <c r="E704" s="1022" t="s">
        <v>2089</v>
      </c>
      <c r="F704" s="1022"/>
    </row>
    <row r="705" spans="1:6" ht="13.2">
      <c r="A705" s="191"/>
      <c r="B705" s="191"/>
      <c r="C705" s="191"/>
      <c r="D705" s="3"/>
    </row>
    <row r="706" spans="1:6" ht="14.4">
      <c r="A706" s="271"/>
      <c r="B706" s="609" t="s">
        <v>79</v>
      </c>
      <c r="C706" s="191"/>
      <c r="D706" s="977" t="s">
        <v>1526</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79</v>
      </c>
      <c r="C713" s="191"/>
      <c r="D713" s="970" t="s">
        <v>1732</v>
      </c>
      <c r="E713" s="977"/>
      <c r="F713" s="977"/>
    </row>
    <row r="714" spans="1:6" ht="13.2">
      <c r="A714" s="191"/>
      <c r="B714" s="191"/>
      <c r="C714" s="191"/>
      <c r="D714" s="977"/>
      <c r="E714" s="977"/>
      <c r="F714" s="977"/>
    </row>
    <row r="715" spans="1:6" ht="13.2">
      <c r="A715" s="191"/>
      <c r="B715" s="191"/>
      <c r="C715" s="191"/>
    </row>
    <row r="716" spans="1:6" ht="14.4" customHeight="1">
      <c r="A716" s="271"/>
      <c r="B716" s="609" t="s">
        <v>79</v>
      </c>
      <c r="C716" s="191"/>
      <c r="D716" s="977" t="s">
        <v>1527</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79</v>
      </c>
      <c r="C729" s="191"/>
      <c r="D729" s="977" t="s">
        <v>1531</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79</v>
      </c>
      <c r="C732" s="191"/>
      <c r="D732" s="977" t="s">
        <v>1532</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4" customHeight="1">
      <c r="A736" s="271"/>
      <c r="B736" s="609" t="s">
        <v>79</v>
      </c>
      <c r="C736" s="191"/>
      <c r="D736" s="970" t="s">
        <v>1922</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4" customHeight="1">
      <c r="A740" s="271"/>
      <c r="B740" s="609" t="s">
        <v>79</v>
      </c>
      <c r="C740" s="191"/>
      <c r="D740" s="977" t="s">
        <v>1528</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79</v>
      </c>
      <c r="C744" s="191"/>
      <c r="D744" s="977" t="s">
        <v>1530</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79</v>
      </c>
      <c r="C749" s="191"/>
      <c r="D749" s="970" t="s">
        <v>2215</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1529</v>
      </c>
      <c r="E756" s="1021"/>
      <c r="F756" s="1021"/>
      <c r="H756" s="267"/>
      <c r="I756" s="267"/>
    </row>
    <row r="757" spans="1:9" ht="13.2">
      <c r="A757" s="191"/>
      <c r="B757" s="191"/>
      <c r="C757" s="191"/>
      <c r="D757" s="560"/>
      <c r="H757" s="267"/>
      <c r="I757" s="267"/>
    </row>
    <row r="758" spans="1:9" ht="13.2">
      <c r="A758" s="1009" t="s">
        <v>1428</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1448</v>
      </c>
      <c r="E760" s="1004"/>
      <c r="F760" s="1004"/>
      <c r="H760" s="267"/>
      <c r="I760" s="267"/>
    </row>
    <row r="761" spans="1:9" ht="13.2">
      <c r="A761" s="190"/>
      <c r="B761" s="190"/>
      <c r="C761" s="190"/>
      <c r="D761" s="1007" t="s">
        <v>1451</v>
      </c>
      <c r="E761" s="1007"/>
      <c r="F761" s="1007"/>
      <c r="H761" s="267"/>
      <c r="I761" s="267"/>
    </row>
    <row r="762" spans="1:9" ht="13.2">
      <c r="A762" s="191"/>
      <c r="B762" s="191"/>
      <c r="C762" s="191"/>
      <c r="H762" s="267"/>
      <c r="I762" s="267"/>
    </row>
    <row r="763" spans="1:9" ht="14.25" customHeight="1">
      <c r="A763" s="271"/>
      <c r="B763" s="609" t="s">
        <v>79</v>
      </c>
      <c r="D763" s="977" t="s">
        <v>1449</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79</v>
      </c>
      <c r="D770" s="1018" t="s">
        <v>1863</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79</v>
      </c>
      <c r="C775" s="433"/>
      <c r="D775" s="1020" t="s">
        <v>1864</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79</v>
      </c>
      <c r="D779" s="977" t="s">
        <v>1450</v>
      </c>
      <c r="E779" s="977"/>
      <c r="F779" s="977"/>
      <c r="H779" s="267"/>
      <c r="I779" s="267"/>
    </row>
    <row r="780" spans="1:9" ht="13.2">
      <c r="D780" s="977"/>
      <c r="E780" s="977"/>
      <c r="F780" s="977"/>
      <c r="H780" s="267"/>
      <c r="I780" s="267"/>
    </row>
    <row r="781" spans="1:9" ht="13.2">
      <c r="D781" s="24"/>
      <c r="E781" s="24"/>
      <c r="F781" s="24"/>
      <c r="H781" s="267"/>
      <c r="I781" s="267"/>
    </row>
    <row r="782" spans="1:9" ht="13.65" customHeight="1">
      <c r="B782" s="609" t="s">
        <v>79</v>
      </c>
      <c r="D782" s="970" t="s">
        <v>1755</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1592</v>
      </c>
      <c r="B786" s="1009"/>
      <c r="C786" s="1009"/>
      <c r="D786" s="1009"/>
      <c r="E786" s="1009"/>
      <c r="F786" s="1009"/>
      <c r="G786" s="1009"/>
      <c r="H786" s="267"/>
      <c r="I786" s="267"/>
    </row>
    <row r="787" spans="1:9" ht="13.2">
      <c r="A787" s="63"/>
      <c r="B787" s="63"/>
      <c r="H787" s="267"/>
      <c r="I787" s="267"/>
    </row>
    <row r="788" spans="1:9" ht="13.65" customHeight="1">
      <c r="A788" s="63"/>
      <c r="B788" s="63"/>
      <c r="D788" s="1013" t="s">
        <v>1593</v>
      </c>
      <c r="E788" s="1013"/>
      <c r="F788" s="1013"/>
      <c r="H788" s="267"/>
      <c r="I788" s="267"/>
    </row>
    <row r="789" spans="1:9" ht="13.2">
      <c r="A789" s="63"/>
      <c r="B789" s="63"/>
      <c r="D789" s="1014" t="s">
        <v>1594</v>
      </c>
      <c r="E789" s="1014"/>
      <c r="F789" s="1014"/>
      <c r="H789" s="267"/>
      <c r="I789" s="267"/>
    </row>
    <row r="790" spans="1:9" ht="13.2">
      <c r="A790" s="63"/>
      <c r="B790" s="63"/>
      <c r="D790" s="420"/>
      <c r="E790" s="420"/>
      <c r="F790" s="420"/>
      <c r="H790" s="267"/>
      <c r="I790" s="267"/>
    </row>
    <row r="791" spans="1:9" ht="13.2">
      <c r="A791" s="63"/>
      <c r="B791" s="609" t="s">
        <v>79</v>
      </c>
      <c r="D791" s="995" t="s">
        <v>1595</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79</v>
      </c>
      <c r="C795" s="190"/>
      <c r="D795" s="1020" t="s">
        <v>2210</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4" customHeight="1">
      <c r="A799" s="271"/>
      <c r="B799" s="609" t="s">
        <v>79</v>
      </c>
      <c r="C799" s="207"/>
      <c r="D799" s="1020" t="s">
        <v>1697</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79</v>
      </c>
      <c r="C803" s="207"/>
      <c r="D803" s="995" t="s">
        <v>1596</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2009</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79</v>
      </c>
      <c r="C812" s="207"/>
      <c r="D812" s="995" t="s">
        <v>1598</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79</v>
      </c>
      <c r="C819" s="207"/>
      <c r="D819" s="1020" t="s">
        <v>1865</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79</v>
      </c>
      <c r="C825" s="207"/>
      <c r="D825" s="995" t="s">
        <v>1597</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79</v>
      </c>
      <c r="C830" s="207"/>
      <c r="D830" s="1003" t="s">
        <v>1600</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79</v>
      </c>
      <c r="C837" s="207"/>
      <c r="D837" s="995" t="s">
        <v>1599</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79</v>
      </c>
      <c r="C840" s="207"/>
      <c r="D840" s="1003" t="s">
        <v>1601</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1882</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1517</v>
      </c>
      <c r="E845" s="1004"/>
      <c r="F845" s="1004"/>
      <c r="H845" s="267"/>
      <c r="I845" s="267"/>
    </row>
    <row r="846" spans="1:9" ht="14.4">
      <c r="A846" s="271"/>
      <c r="B846" s="271"/>
      <c r="D846" s="970" t="s">
        <v>1879</v>
      </c>
      <c r="E846" s="970"/>
      <c r="F846" s="970"/>
      <c r="H846" s="267"/>
      <c r="I846" s="267"/>
    </row>
    <row r="847" spans="1:9" ht="14.4">
      <c r="A847" s="271"/>
      <c r="B847" s="271"/>
      <c r="D847" s="24"/>
      <c r="E847" s="210"/>
      <c r="F847" s="210"/>
      <c r="H847" s="267"/>
      <c r="I847" s="267"/>
    </row>
    <row r="848" spans="1:9" ht="13.2">
      <c r="B848" s="609" t="s">
        <v>79</v>
      </c>
      <c r="C848" s="207"/>
      <c r="D848" s="977" t="s">
        <v>1454</v>
      </c>
      <c r="E848" s="977"/>
      <c r="F848" s="977"/>
      <c r="H848" s="267"/>
      <c r="I848" s="267"/>
    </row>
    <row r="849" spans="1:9" ht="13.2">
      <c r="A849" s="18"/>
      <c r="B849" s="18"/>
      <c r="C849" s="207"/>
      <c r="D849" s="3" t="s">
        <v>1431</v>
      </c>
      <c r="E849" s="978" t="s">
        <v>2072</v>
      </c>
      <c r="F849" s="978"/>
      <c r="H849" s="267"/>
      <c r="I849" s="267"/>
    </row>
    <row r="850" spans="1:9" ht="13.2">
      <c r="A850" s="18"/>
      <c r="B850" s="18"/>
      <c r="C850" s="207"/>
      <c r="D850" s="213"/>
      <c r="H850" s="267"/>
      <c r="I850" s="267"/>
    </row>
    <row r="851" spans="1:9" ht="13.2">
      <c r="A851" s="18"/>
      <c r="B851" s="609" t="s">
        <v>79</v>
      </c>
      <c r="C851" s="207"/>
      <c r="D851" s="1023" t="s">
        <v>1678</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79</v>
      </c>
      <c r="C861" s="207"/>
      <c r="D861" s="977" t="s">
        <v>1455</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79</v>
      </c>
      <c r="C865" s="207"/>
      <c r="D865" s="1004" t="s">
        <v>1456</v>
      </c>
      <c r="E865" s="1004"/>
      <c r="F865" s="1004"/>
      <c r="H865" s="267"/>
      <c r="I865" s="267"/>
    </row>
    <row r="866" spans="1:9" ht="13.2">
      <c r="B866" s="419"/>
      <c r="C866" s="207"/>
      <c r="D866" s="1004"/>
      <c r="E866" s="1004"/>
      <c r="F866" s="1004"/>
      <c r="H866" s="267"/>
      <c r="I866" s="267"/>
    </row>
    <row r="867" spans="1:9" ht="14.25" customHeight="1">
      <c r="A867" s="271"/>
      <c r="C867" s="207"/>
      <c r="D867" s="977" t="s">
        <v>2150</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79</v>
      </c>
      <c r="C874" s="207"/>
      <c r="D874" s="977" t="s">
        <v>1175</v>
      </c>
      <c r="E874" s="977"/>
      <c r="F874" s="977"/>
      <c r="H874" s="267"/>
      <c r="I874" s="267"/>
    </row>
    <row r="875" spans="1:9" ht="14.4">
      <c r="A875" s="271"/>
      <c r="B875" s="271"/>
      <c r="C875" s="207"/>
      <c r="D875" s="977" t="s">
        <v>1176</v>
      </c>
      <c r="E875" s="977"/>
      <c r="F875" s="977"/>
      <c r="H875" s="267"/>
      <c r="I875" s="267"/>
    </row>
    <row r="876" spans="1:9" ht="14.4">
      <c r="A876" s="271"/>
      <c r="B876" s="271"/>
      <c r="C876" s="207"/>
      <c r="D876" s="3" t="s">
        <v>1430</v>
      </c>
      <c r="E876" s="978" t="s">
        <v>2074</v>
      </c>
      <c r="F876" s="978"/>
      <c r="H876" s="267"/>
      <c r="I876" s="267"/>
    </row>
    <row r="877" spans="1:9" ht="14.4">
      <c r="A877" s="271"/>
      <c r="B877" s="271"/>
      <c r="C877" s="207"/>
      <c r="D877" s="44"/>
      <c r="H877" s="267"/>
      <c r="I877" s="267"/>
    </row>
    <row r="878" spans="1:9" ht="14.4">
      <c r="A878" s="271"/>
      <c r="B878" s="609" t="s">
        <v>79</v>
      </c>
      <c r="C878" s="207"/>
      <c r="D878" s="977" t="s">
        <v>1457</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998" t="s">
        <v>1516</v>
      </c>
      <c r="E885" s="998"/>
      <c r="F885" s="998"/>
      <c r="G885" s="188"/>
      <c r="H885" s="267"/>
      <c r="I885" s="267"/>
    </row>
    <row r="886" spans="1:9" ht="13.2">
      <c r="C886" s="191"/>
      <c r="D886" s="1011" t="s">
        <v>1880</v>
      </c>
      <c r="E886" s="1012"/>
      <c r="F886" s="1012"/>
      <c r="G886" s="188"/>
      <c r="H886" s="267"/>
      <c r="I886" s="267"/>
    </row>
    <row r="887" spans="1:9" ht="13.2">
      <c r="C887" s="191"/>
      <c r="D887" s="640"/>
      <c r="E887" s="640"/>
      <c r="F887" s="640"/>
      <c r="G887" s="188"/>
      <c r="H887" s="267"/>
      <c r="I887" s="267"/>
    </row>
    <row r="888" spans="1:9" ht="14.4">
      <c r="A888" s="271"/>
      <c r="B888" s="609" t="s">
        <v>79</v>
      </c>
      <c r="D888" s="997" t="s">
        <v>1476</v>
      </c>
      <c r="E888" s="997"/>
      <c r="F888" s="997"/>
      <c r="G888" s="188"/>
      <c r="H888" s="267"/>
      <c r="I888" s="267"/>
    </row>
    <row r="889" spans="1:9" ht="13.2">
      <c r="D889" s="3" t="s">
        <v>1430</v>
      </c>
      <c r="E889" s="1010" t="s">
        <v>2074</v>
      </c>
      <c r="F889" s="1010"/>
      <c r="G889" s="188"/>
    </row>
    <row r="890" spans="1:9" ht="13.2">
      <c r="D890" s="44"/>
      <c r="E890" s="188"/>
      <c r="F890" s="188"/>
      <c r="G890" s="188"/>
      <c r="H890" s="267"/>
      <c r="I890" s="267"/>
    </row>
    <row r="891" spans="1:9" ht="14.4">
      <c r="A891" s="271"/>
      <c r="B891" s="609" t="s">
        <v>79</v>
      </c>
      <c r="D891" s="970" t="s">
        <v>1883</v>
      </c>
      <c r="E891" s="1040"/>
      <c r="F891" s="1040"/>
    </row>
    <row r="892" spans="1:9" ht="12.6" customHeight="1">
      <c r="D892" s="1040"/>
      <c r="E892" s="1040"/>
      <c r="F892" s="1040"/>
    </row>
    <row r="893" spans="1:9" ht="14.4">
      <c r="A893" s="271"/>
      <c r="B893" s="271"/>
      <c r="D893" s="44"/>
      <c r="E893" s="188"/>
      <c r="F893" s="188"/>
      <c r="G893" s="188"/>
      <c r="H893" s="267"/>
      <c r="I893" s="267"/>
    </row>
    <row r="894" spans="1:9" ht="13.2">
      <c r="B894" s="609" t="s">
        <v>79</v>
      </c>
      <c r="D894" s="1006" t="s">
        <v>1680</v>
      </c>
      <c r="E894" s="1006"/>
      <c r="F894" s="1006"/>
      <c r="G894" s="188"/>
      <c r="H894" s="267"/>
      <c r="I894" s="267"/>
    </row>
    <row r="895" spans="1:9" ht="29.4" customHeight="1">
      <c r="B895" s="565"/>
      <c r="D895" s="1006"/>
      <c r="E895" s="1006"/>
      <c r="F895" s="1006"/>
      <c r="G895" s="188"/>
      <c r="H895" s="267"/>
      <c r="I895" s="267"/>
    </row>
    <row r="896" spans="1:9" ht="14.4">
      <c r="A896" s="271"/>
      <c r="B896"/>
      <c r="D896" s="977" t="s">
        <v>2150</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79</v>
      </c>
      <c r="D903" s="1007" t="s">
        <v>1175</v>
      </c>
      <c r="E903" s="1007"/>
      <c r="F903" s="1007"/>
      <c r="G903" s="188"/>
      <c r="H903" s="267"/>
      <c r="I903" s="267"/>
    </row>
    <row r="904" spans="1:9" ht="14.4">
      <c r="A904" s="271"/>
      <c r="B904" s="271"/>
      <c r="D904" s="1007" t="s">
        <v>1176</v>
      </c>
      <c r="E904" s="1007"/>
      <c r="F904" s="1007"/>
      <c r="G904" s="188"/>
      <c r="H904" s="267"/>
      <c r="I904" s="267"/>
    </row>
    <row r="905" spans="1:9" ht="14.4">
      <c r="A905" s="271"/>
      <c r="B905" s="271"/>
      <c r="D905" s="3" t="s">
        <v>1477</v>
      </c>
      <c r="E905" s="1008" t="s">
        <v>2074</v>
      </c>
      <c r="F905" s="1008"/>
      <c r="G905" s="188"/>
      <c r="H905" s="267"/>
      <c r="I905" s="267"/>
    </row>
    <row r="906" spans="1:9" ht="14.4">
      <c r="A906" s="271"/>
      <c r="B906" s="271"/>
      <c r="D906" s="44"/>
      <c r="E906" s="188"/>
      <c r="F906" s="188"/>
      <c r="G906" s="188"/>
      <c r="H906" s="267"/>
      <c r="I906" s="267"/>
    </row>
    <row r="907" spans="1:9" ht="14.4">
      <c r="A907" s="271"/>
      <c r="B907" s="609" t="s">
        <v>79</v>
      </c>
      <c r="D907" s="977" t="s">
        <v>1457</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1403</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1634</v>
      </c>
      <c r="E914" s="1001"/>
      <c r="F914" s="1001"/>
      <c r="G914" s="188"/>
      <c r="H914" s="267"/>
      <c r="I914" s="267"/>
    </row>
    <row r="915" spans="1:9" ht="13.2">
      <c r="A915" s="190"/>
      <c r="B915" s="190"/>
      <c r="C915" s="190"/>
      <c r="D915" s="997" t="s">
        <v>1475</v>
      </c>
      <c r="E915" s="997"/>
      <c r="F915" s="997"/>
      <c r="G915" s="188"/>
      <c r="H915" s="267"/>
      <c r="I915" s="267"/>
    </row>
    <row r="916" spans="1:9" ht="13.2">
      <c r="A916" s="190"/>
      <c r="B916" s="190"/>
      <c r="C916" s="190"/>
      <c r="F916" s="188"/>
      <c r="G916" s="188"/>
      <c r="H916" s="267"/>
      <c r="I916" s="267"/>
    </row>
    <row r="917" spans="1:9" ht="13.65" customHeight="1">
      <c r="A917" s="190"/>
      <c r="B917" s="609" t="s">
        <v>79</v>
      </c>
      <c r="C917" s="190"/>
      <c r="D917" s="1004" t="s">
        <v>1644</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79</v>
      </c>
      <c r="C923" s="191"/>
      <c r="D923" s="978" t="s">
        <v>1728</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8" t="s">
        <v>1729</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05" t="s">
        <v>1645</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8" t="s">
        <v>1646</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1647</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79</v>
      </c>
      <c r="D957" s="977" t="s">
        <v>1648</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1637</v>
      </c>
      <c r="E960" s="1001"/>
      <c r="F960" s="1001"/>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1000" t="s">
        <v>1636</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1000" t="s">
        <v>1635</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79</v>
      </c>
      <c r="C975" s="207"/>
      <c r="D975" s="1000" t="s">
        <v>1638</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1000" t="s">
        <v>1639</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79</v>
      </c>
      <c r="C985" s="207"/>
      <c r="D985" s="1000" t="s">
        <v>1640</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79</v>
      </c>
      <c r="C988" s="207"/>
      <c r="D988" s="977" t="s">
        <v>1641</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79</v>
      </c>
      <c r="C991" s="207"/>
      <c r="D991" s="1002" t="s">
        <v>1770</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79</v>
      </c>
      <c r="C996" s="207"/>
      <c r="D996" s="997" t="s">
        <v>2151</v>
      </c>
      <c r="E996" s="997"/>
      <c r="F996" s="997"/>
      <c r="G996" s="188"/>
      <c r="H996" s="267"/>
      <c r="I996" s="267"/>
    </row>
    <row r="997" spans="1:9" ht="13.2">
      <c r="A997" s="207"/>
      <c r="B997" s="207"/>
      <c r="C997" s="207"/>
      <c r="D997" s="44"/>
      <c r="E997" s="188"/>
      <c r="F997" s="188"/>
      <c r="G997" s="188"/>
      <c r="H997" s="267"/>
      <c r="I997" s="267"/>
    </row>
    <row r="998" spans="1:9" ht="13.2">
      <c r="A998" s="207"/>
      <c r="B998" s="609" t="s">
        <v>79</v>
      </c>
      <c r="C998" s="207"/>
      <c r="D998" s="997" t="s">
        <v>2152</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1478</v>
      </c>
      <c r="E1000" s="998"/>
      <c r="F1000" s="998"/>
      <c r="G1000" s="188"/>
      <c r="H1000" s="267"/>
      <c r="I1000" s="267"/>
    </row>
    <row r="1001" spans="1:9" ht="13.2">
      <c r="A1001" s="207"/>
      <c r="C1001" s="207"/>
      <c r="D1001" s="192"/>
      <c r="E1001" s="188"/>
      <c r="F1001" s="188"/>
      <c r="G1001" s="188"/>
      <c r="H1001" s="267"/>
      <c r="I1001" s="267"/>
    </row>
    <row r="1002" spans="1:9" ht="14.4">
      <c r="A1002" s="271"/>
      <c r="B1002" s="609" t="s">
        <v>79</v>
      </c>
      <c r="C1002" s="207"/>
      <c r="D1002" s="977" t="s">
        <v>1642</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79</v>
      </c>
      <c r="C1008" s="207"/>
      <c r="D1008" s="977" t="s">
        <v>1643</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1479</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7" t="s">
        <v>1649</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79</v>
      </c>
      <c r="C1020" s="207"/>
      <c r="D1020" s="977" t="s">
        <v>1650</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1480</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7" t="s">
        <v>1652</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7" t="s">
        <v>1651</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5" t="s">
        <v>1653</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7" t="s">
        <v>1654</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7" t="s">
        <v>1655</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7" t="s">
        <v>1481</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7" t="s">
        <v>1482</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39" t="s">
        <v>1125</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1483</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70" t="s">
        <v>2202</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70" t="s">
        <v>2203</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79</v>
      </c>
      <c r="C1078" s="207"/>
      <c r="D1078" s="1003" t="s">
        <v>1656</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79</v>
      </c>
      <c r="C1082" s="429"/>
      <c r="D1082" s="1033" t="s">
        <v>2153</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1484</v>
      </c>
      <c r="E1086" s="998"/>
      <c r="F1086" s="998"/>
      <c r="G1086" s="188"/>
    </row>
    <row r="1087" spans="1:9" ht="13.2">
      <c r="C1087" s="207"/>
      <c r="D1087" s="192"/>
      <c r="E1087" s="188"/>
      <c r="F1087" s="188"/>
      <c r="G1087" s="188"/>
    </row>
    <row r="1088" spans="1:9" ht="13.2">
      <c r="A1088" s="207"/>
      <c r="B1088" s="609" t="s">
        <v>79</v>
      </c>
      <c r="C1088" s="207"/>
      <c r="D1088" s="977" t="s">
        <v>1657</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79</v>
      </c>
      <c r="C1092" s="207"/>
      <c r="D1092" s="977" t="s">
        <v>1658</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1117</v>
      </c>
      <c r="E1096" s="998"/>
      <c r="F1096" s="998"/>
      <c r="G1096" s="188"/>
    </row>
    <row r="1097" spans="1:7" ht="13.2">
      <c r="A1097" s="207"/>
      <c r="B1097" s="207"/>
      <c r="C1097" s="207"/>
      <c r="D1097" s="997" t="s">
        <v>1485</v>
      </c>
      <c r="E1097" s="997"/>
      <c r="F1097" s="997"/>
      <c r="G1097" s="188"/>
    </row>
    <row r="1098" spans="1:7" ht="13.2">
      <c r="A1098" s="207"/>
      <c r="B1098" s="207"/>
      <c r="C1098" s="207"/>
      <c r="D1098" s="419"/>
      <c r="E1098" s="188"/>
      <c r="F1098" s="188"/>
      <c r="G1098" s="188"/>
    </row>
    <row r="1099" spans="1:7" ht="14.4">
      <c r="A1099" s="271"/>
      <c r="B1099" s="609" t="s">
        <v>79</v>
      </c>
      <c r="C1099" s="207"/>
      <c r="D1099" s="977" t="s">
        <v>1659</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79</v>
      </c>
      <c r="C1102" s="207"/>
      <c r="D1102" s="977" t="s">
        <v>1660</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1486</v>
      </c>
      <c r="E1105" s="998"/>
      <c r="F1105" s="998"/>
      <c r="G1105" s="188"/>
    </row>
    <row r="1106" spans="1:7" ht="13.2">
      <c r="A1106" s="207"/>
      <c r="B1106" s="207"/>
      <c r="C1106" s="207"/>
      <c r="D1106" s="192"/>
      <c r="E1106" s="188"/>
      <c r="F1106" s="188"/>
      <c r="G1106" s="188"/>
    </row>
    <row r="1107" spans="1:7" ht="14.4">
      <c r="A1107" s="271"/>
      <c r="B1107" s="609" t="s">
        <v>79</v>
      </c>
      <c r="C1107" s="207"/>
      <c r="D1107" s="977" t="s">
        <v>1661</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79</v>
      </c>
      <c r="C1115" s="207"/>
      <c r="D1115" s="977" t="s">
        <v>1662</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79</v>
      </c>
      <c r="C1123" s="207"/>
      <c r="D1123" s="1002" t="s">
        <v>1771</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1487</v>
      </c>
      <c r="E1127" s="998"/>
      <c r="F1127" s="998"/>
    </row>
    <row r="1128" spans="1:7" ht="13.2">
      <c r="D1128" s="192"/>
    </row>
    <row r="1129" spans="1:7" ht="14.4">
      <c r="A1129" s="271"/>
      <c r="B1129" s="609" t="s">
        <v>79</v>
      </c>
      <c r="D1129" s="977" t="s">
        <v>1663</v>
      </c>
      <c r="E1129" s="977"/>
      <c r="F1129" s="977"/>
    </row>
    <row r="1130" spans="1:7" ht="13.2">
      <c r="D1130" s="977"/>
      <c r="E1130" s="977"/>
      <c r="F1130" s="977"/>
    </row>
    <row r="1131" spans="1:7" ht="13.2"/>
    <row r="1132" spans="1:7" ht="14.4">
      <c r="A1132" s="271"/>
      <c r="B1132" s="609" t="s">
        <v>79</v>
      </c>
      <c r="D1132" s="977" t="s">
        <v>1664</v>
      </c>
      <c r="E1132" s="977"/>
      <c r="F1132" s="977"/>
    </row>
    <row r="1133" spans="1:7" ht="13.2">
      <c r="D1133" s="977"/>
      <c r="E1133" s="977"/>
      <c r="F1133" s="977"/>
    </row>
    <row r="1134" spans="1:7" ht="13.2"/>
    <row r="1135" spans="1:7" ht="13.2">
      <c r="D1135" s="998" t="s">
        <v>1488</v>
      </c>
      <c r="E1135" s="998"/>
      <c r="F1135" s="998"/>
    </row>
    <row r="1136" spans="1:7" ht="13.2">
      <c r="D1136" s="192"/>
    </row>
    <row r="1137" spans="1:7" ht="14.4">
      <c r="A1137" s="271"/>
      <c r="B1137" s="609" t="s">
        <v>79</v>
      </c>
      <c r="D1137" s="997" t="s">
        <v>1665</v>
      </c>
      <c r="E1137" s="997"/>
      <c r="F1137" s="997"/>
    </row>
    <row r="1138" spans="1:7" ht="13.2"/>
    <row r="1139" spans="1:7" ht="14.4">
      <c r="A1139" s="271"/>
      <c r="B1139" s="609" t="s">
        <v>79</v>
      </c>
      <c r="D1139" s="977" t="s">
        <v>1666</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1676</v>
      </c>
      <c r="E1142" s="998"/>
      <c r="F1142" s="998"/>
      <c r="G1142"/>
    </row>
    <row r="1143" spans="1:7" ht="13.2">
      <c r="D1143" s="192"/>
      <c r="G1143"/>
    </row>
    <row r="1144" spans="1:7" ht="14.4" customHeight="1">
      <c r="A1144" s="271"/>
      <c r="B1144" s="609" t="s">
        <v>79</v>
      </c>
      <c r="D1144" s="970" t="s">
        <v>2204</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1404</v>
      </c>
      <c r="B1159" s="1031"/>
      <c r="C1159" s="1031"/>
      <c r="D1159" s="1031"/>
      <c r="E1159" s="1031"/>
      <c r="F1159" s="1031"/>
      <c r="G1159" s="1031"/>
    </row>
    <row r="1160" spans="1:7" ht="13.2">
      <c r="A1160" s="44"/>
      <c r="B1160" s="44"/>
    </row>
    <row r="1161" spans="1:7" ht="13.2">
      <c r="C1161" s="207"/>
      <c r="D1161" s="998" t="s">
        <v>1667</v>
      </c>
      <c r="E1161" s="998"/>
      <c r="F1161" s="998"/>
    </row>
    <row r="1162" spans="1:7" ht="13.2">
      <c r="A1162" s="190"/>
      <c r="B1162" s="190"/>
      <c r="C1162" s="190"/>
      <c r="D1162" s="999" t="s">
        <v>1492</v>
      </c>
      <c r="E1162" s="997"/>
      <c r="F1162" s="997"/>
    </row>
    <row r="1163" spans="1:7" ht="13.2">
      <c r="A1163" s="190"/>
      <c r="B1163" s="190"/>
      <c r="C1163" s="190"/>
      <c r="F1163" s="188"/>
      <c r="G1163"/>
    </row>
    <row r="1164" spans="1:7" ht="13.65" customHeight="1">
      <c r="B1164" s="609" t="s">
        <v>79</v>
      </c>
      <c r="D1164" s="1052" t="s">
        <v>2091</v>
      </c>
      <c r="E1164" s="1052"/>
      <c r="F1164" s="1052"/>
      <c r="G1164"/>
    </row>
    <row r="1165" spans="1:7" ht="13.2">
      <c r="D1165" s="1052"/>
      <c r="E1165" s="1052"/>
      <c r="F1165" s="1052"/>
      <c r="G1165"/>
    </row>
    <row r="1166" spans="1:7" ht="13.2">
      <c r="D1166" s="15"/>
      <c r="E1166" s="927" t="s">
        <v>2092</v>
      </c>
      <c r="F1166" s="15"/>
      <c r="G1166"/>
    </row>
    <row r="1167" spans="1:7" ht="13.2">
      <c r="D1167" s="15"/>
      <c r="E1167" s="15"/>
      <c r="F1167" s="15"/>
      <c r="G1167"/>
    </row>
    <row r="1168" spans="1:7" ht="13.2">
      <c r="D1168" s="994" t="s">
        <v>2090</v>
      </c>
      <c r="E1168" s="994"/>
      <c r="F1168" s="994"/>
      <c r="G1168"/>
    </row>
    <row r="1169" spans="1:7" ht="13.2">
      <c r="A1169" s="191"/>
      <c r="B1169" s="191"/>
      <c r="C1169" s="191"/>
      <c r="D1169" s="994"/>
      <c r="E1169" s="994"/>
      <c r="F1169" s="994"/>
      <c r="G1169"/>
    </row>
    <row r="1170" spans="1:7" ht="14.4"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79</v>
      </c>
      <c r="C1172" s="191"/>
      <c r="D1172" s="977" t="s">
        <v>1677</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79</v>
      </c>
      <c r="C1177" s="191"/>
      <c r="D1177" s="970" t="s">
        <v>1756</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79</v>
      </c>
      <c r="D1180" s="997" t="s">
        <v>1668</v>
      </c>
      <c r="E1180" s="997"/>
      <c r="F1180" s="997"/>
      <c r="G1180"/>
    </row>
    <row r="1181" spans="1:7" ht="13.2">
      <c r="G1181"/>
    </row>
    <row r="1182" spans="1:7" ht="14.4">
      <c r="A1182" s="271"/>
      <c r="B1182" s="609" t="s">
        <v>79</v>
      </c>
      <c r="D1182" s="997" t="s">
        <v>1669</v>
      </c>
      <c r="E1182" s="997"/>
      <c r="F1182" s="997"/>
      <c r="G1182"/>
    </row>
    <row r="1183" spans="1:7" ht="13.2">
      <c r="D1183" s="44"/>
      <c r="G1183"/>
    </row>
    <row r="1184" spans="1:7" ht="14.4">
      <c r="A1184" s="271"/>
      <c r="B1184" s="609" t="s">
        <v>79</v>
      </c>
      <c r="D1184" s="997" t="s">
        <v>1670</v>
      </c>
      <c r="E1184" s="997"/>
      <c r="F1184" s="997"/>
      <c r="G1184"/>
    </row>
    <row r="1185" spans="1:7" ht="13.2">
      <c r="D1185" s="44"/>
      <c r="G1185"/>
    </row>
    <row r="1186" spans="1:7" ht="14.4">
      <c r="A1186" s="271"/>
      <c r="B1186" s="609" t="s">
        <v>79</v>
      </c>
      <c r="D1186" s="977" t="s">
        <v>1671</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79</v>
      </c>
      <c r="C1189" s="290"/>
      <c r="D1189" s="995" t="s">
        <v>1672</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79</v>
      </c>
      <c r="C1192" s="290"/>
      <c r="D1192" s="996" t="s">
        <v>1673</v>
      </c>
      <c r="E1192" s="996"/>
      <c r="F1192" s="996"/>
      <c r="G1192" s="292"/>
    </row>
    <row r="1193" spans="1:7" s="448" customFormat="1" ht="13.2">
      <c r="A1193" s="290"/>
      <c r="B1193" s="290"/>
      <c r="C1193" s="290"/>
      <c r="D1193" s="291"/>
      <c r="E1193" s="292"/>
      <c r="F1193" s="292"/>
      <c r="G1193" s="292"/>
    </row>
    <row r="1194" spans="1:7" ht="14.4">
      <c r="A1194" s="271"/>
      <c r="B1194" s="609" t="s">
        <v>79</v>
      </c>
      <c r="D1194" s="997" t="s">
        <v>1674</v>
      </c>
      <c r="E1194" s="997"/>
      <c r="F1194" s="997"/>
    </row>
    <row r="1195" spans="1:7" ht="14.4">
      <c r="A1195" s="271"/>
      <c r="B1195" s="271"/>
      <c r="D1195" s="44"/>
    </row>
    <row r="1196" spans="1:7" ht="14.4">
      <c r="A1196" s="271"/>
      <c r="B1196" s="609" t="s">
        <v>79</v>
      </c>
      <c r="D1196" s="977" t="s">
        <v>1675</v>
      </c>
      <c r="E1196" s="977"/>
      <c r="F1196" s="977"/>
    </row>
    <row r="1197" spans="1:7" ht="14.4">
      <c r="A1197" s="271"/>
      <c r="B1197" s="271"/>
      <c r="D1197" s="977"/>
      <c r="E1197" s="977"/>
      <c r="F1197" s="977"/>
    </row>
    <row r="1198" spans="1:7" ht="13.2"/>
    <row r="1199" spans="1:7" ht="13.2">
      <c r="A1199" s="1031" t="s">
        <v>2010</v>
      </c>
      <c r="B1199" s="1031"/>
      <c r="C1199" s="1031"/>
      <c r="D1199" s="1031"/>
      <c r="E1199" s="1031"/>
      <c r="F1199" s="1031"/>
      <c r="G1199" s="1031"/>
    </row>
    <row r="1200" spans="1:7" ht="13.2"/>
    <row r="1201" spans="1:7" ht="13.2">
      <c r="A1201" s="1031" t="s">
        <v>1405</v>
      </c>
      <c r="B1201" s="1031"/>
      <c r="C1201" s="1031"/>
      <c r="D1201" s="1031"/>
      <c r="E1201" s="1031"/>
      <c r="F1201" s="1031"/>
      <c r="G1201" s="1031"/>
    </row>
    <row r="1202" spans="1:7" ht="13.2"/>
    <row r="1203" spans="1:7" ht="13.2">
      <c r="D1203" s="1001" t="s">
        <v>1511</v>
      </c>
      <c r="E1203" s="1001"/>
      <c r="F1203" s="1001"/>
    </row>
    <row r="1204" spans="1:7" ht="13.2">
      <c r="D1204" s="1036" t="s">
        <v>1916</v>
      </c>
      <c r="E1204" s="1036"/>
      <c r="F1204" s="1036"/>
    </row>
    <row r="1205" spans="1:7" ht="13.2">
      <c r="A1205" s="190"/>
      <c r="B1205" s="190"/>
      <c r="C1205" s="190"/>
    </row>
    <row r="1206" spans="1:7" ht="14.4">
      <c r="A1206" s="271"/>
      <c r="B1206" s="271"/>
      <c r="C1206" s="191"/>
      <c r="D1206" s="1001" t="s">
        <v>1512</v>
      </c>
      <c r="E1206" s="1001"/>
      <c r="F1206" s="1001"/>
    </row>
    <row r="1207" spans="1:7" ht="13.2">
      <c r="B1207" s="609" t="s">
        <v>79</v>
      </c>
      <c r="D1207" s="996" t="s">
        <v>1513</v>
      </c>
      <c r="E1207" s="996"/>
      <c r="F1207" s="996"/>
    </row>
    <row r="1208" spans="1:7" ht="13.2">
      <c r="D1208" s="1036" t="s">
        <v>1917</v>
      </c>
      <c r="E1208" s="1036"/>
      <c r="F1208" s="1036"/>
    </row>
    <row r="1209" spans="1:7" ht="13.2">
      <c r="G1209"/>
    </row>
    <row r="1210" spans="1:7" ht="12.75" customHeight="1">
      <c r="B1210" s="609" t="s">
        <v>79</v>
      </c>
      <c r="D1210" s="1020" t="s">
        <v>1834</v>
      </c>
      <c r="E1210" s="1020"/>
      <c r="F1210" s="1020"/>
      <c r="G1210"/>
    </row>
    <row r="1211" spans="1:7" ht="13.2">
      <c r="D1211" s="1020"/>
      <c r="E1211" s="1020"/>
      <c r="F1211" s="1020"/>
      <c r="G1211"/>
    </row>
    <row r="1212" spans="1:7" ht="13.2">
      <c r="G1212"/>
    </row>
    <row r="1213" spans="1:7" ht="12.75" customHeight="1"/>
    <row r="1214" spans="1:7" ht="13.2">
      <c r="A1214" s="1031" t="s">
        <v>1407</v>
      </c>
      <c r="B1214" s="1031"/>
      <c r="C1214" s="1031"/>
      <c r="D1214" s="1031"/>
      <c r="E1214" s="1031"/>
      <c r="F1214" s="1031"/>
      <c r="G1214" s="1031"/>
    </row>
    <row r="1215" spans="1:7" ht="13.2">
      <c r="A1215" s="44"/>
      <c r="B1215" s="44"/>
    </row>
    <row r="1216" spans="1:7" ht="12.75" customHeight="1">
      <c r="A1216" s="44"/>
      <c r="B1216" s="44"/>
      <c r="D1216" s="998" t="s">
        <v>1406</v>
      </c>
      <c r="E1216" s="998"/>
      <c r="F1216" s="998"/>
    </row>
    <row r="1217" spans="1:7" ht="12.75" customHeight="1">
      <c r="A1217" s="44"/>
      <c r="B1217" s="44"/>
      <c r="D1217" s="997" t="s">
        <v>1413</v>
      </c>
      <c r="E1217" s="997"/>
      <c r="F1217" s="997"/>
    </row>
    <row r="1218" spans="1:7" ht="12.75" customHeight="1">
      <c r="A1218" s="44"/>
      <c r="B1218" s="44"/>
    </row>
    <row r="1219" spans="1:7" ht="14.4">
      <c r="A1219" s="271"/>
      <c r="B1219" s="609" t="s">
        <v>79</v>
      </c>
      <c r="D1219" s="1007" t="s">
        <v>1013</v>
      </c>
      <c r="E1219" s="1007"/>
      <c r="F1219" s="1007"/>
    </row>
    <row r="1220" spans="1:7" ht="13.2">
      <c r="D1220" s="997" t="s">
        <v>1133</v>
      </c>
      <c r="E1220" s="997"/>
      <c r="F1220" s="997"/>
    </row>
    <row r="1221" spans="1:7" ht="13.2">
      <c r="E1221" s="1022" t="s">
        <v>2093</v>
      </c>
      <c r="F1221" s="1022"/>
    </row>
    <row r="1222" spans="1:7" ht="13.2">
      <c r="D1222" s="3"/>
    </row>
    <row r="1223" spans="1:7" ht="13.2">
      <c r="D1223" s="1035" t="s">
        <v>1273</v>
      </c>
      <c r="E1223" s="1035"/>
      <c r="F1223" s="1035"/>
    </row>
    <row r="1224" spans="1:7" ht="13.2">
      <c r="B1224" s="609" t="s">
        <v>79</v>
      </c>
      <c r="D1224" s="970" t="s">
        <v>2094</v>
      </c>
      <c r="E1224" s="977"/>
      <c r="F1224" s="977"/>
      <c r="G1224"/>
    </row>
    <row r="1225" spans="1:7" ht="13.2">
      <c r="D1225" s="977"/>
      <c r="E1225" s="977"/>
      <c r="F1225" s="977"/>
      <c r="G1225"/>
    </row>
    <row r="1226" spans="1:7" ht="13.2">
      <c r="D1226" s="501" t="s">
        <v>1276</v>
      </c>
      <c r="E1226"/>
      <c r="F1226"/>
      <c r="G1226"/>
    </row>
    <row r="1227" spans="1:7" ht="13.65" customHeight="1">
      <c r="D1227" s="970" t="s">
        <v>2095</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1016</v>
      </c>
      <c r="E1231" s="1022"/>
      <c r="F1231" s="1022"/>
      <c r="G1231"/>
    </row>
    <row r="1232" spans="1:7" ht="13.2">
      <c r="B1232" s="609" t="s">
        <v>79</v>
      </c>
      <c r="D1232" s="1007" t="s">
        <v>1274</v>
      </c>
      <c r="E1232" s="1007"/>
      <c r="F1232" s="1007"/>
      <c r="G1232"/>
    </row>
    <row r="1233" spans="1:7" ht="13.2">
      <c r="E1233"/>
      <c r="F1233"/>
      <c r="G1233"/>
    </row>
    <row r="1234" spans="1:7" ht="13.2">
      <c r="D1234" s="1037" t="s">
        <v>1275</v>
      </c>
      <c r="E1234" s="1037"/>
      <c r="F1234" s="1037"/>
      <c r="G1234"/>
    </row>
    <row r="1235" spans="1:7" ht="13.2">
      <c r="D1235" s="3" t="s">
        <v>1014</v>
      </c>
      <c r="E1235"/>
      <c r="F1235"/>
      <c r="G1235"/>
    </row>
    <row r="1236" spans="1:7" ht="14.4" customHeight="1">
      <c r="A1236" s="271"/>
      <c r="B1236" s="609" t="s">
        <v>79</v>
      </c>
      <c r="D1236" s="977" t="s">
        <v>1514</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7" t="s">
        <v>1515</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1438</v>
      </c>
      <c r="B1247" s="1031"/>
      <c r="C1247" s="1031"/>
      <c r="D1247" s="1031"/>
      <c r="E1247" s="1031"/>
      <c r="F1247" s="1031"/>
      <c r="G1247" s="1031"/>
    </row>
    <row r="1248" spans="1:7" ht="13.2">
      <c r="A1248" s="44"/>
      <c r="B1248" s="44"/>
    </row>
    <row r="1249" spans="1:7" ht="13.2">
      <c r="A1249" s="44"/>
      <c r="B1249" s="44"/>
      <c r="D1249" s="1027" t="s">
        <v>1439</v>
      </c>
      <c r="E1249" s="1027"/>
      <c r="F1249" s="1027"/>
    </row>
    <row r="1250" spans="1:7" ht="13.2">
      <c r="A1250" s="268"/>
      <c r="B1250" s="268"/>
      <c r="C1250" s="268"/>
      <c r="D1250" s="1007" t="s">
        <v>1452</v>
      </c>
      <c r="E1250" s="1007"/>
      <c r="F1250" s="1007"/>
      <c r="G1250" s="269"/>
    </row>
    <row r="1251" spans="1:7" ht="10.5" customHeight="1"/>
    <row r="1252" spans="1:7" ht="14.4">
      <c r="A1252" s="271"/>
      <c r="B1252" s="609" t="s">
        <v>79</v>
      </c>
      <c r="D1252" s="1007" t="s">
        <v>1134</v>
      </c>
      <c r="E1252" s="1007"/>
      <c r="F1252" s="1007"/>
    </row>
    <row r="1253" spans="1:7" ht="13.2">
      <c r="E1253" s="1022" t="s">
        <v>2096</v>
      </c>
      <c r="F1253" s="1022"/>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599" zoomScale="110" zoomScaleNormal="110" workbookViewId="0">
      <selection activeCell="T621" sqref="T621:V621"/>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602" t="s">
        <v>792</v>
      </c>
      <c r="B9" s="1602"/>
      <c r="C9" s="1602"/>
      <c r="D9" s="1602"/>
      <c r="E9" s="1602"/>
      <c r="F9" s="1602"/>
      <c r="G9" s="1602"/>
      <c r="H9" s="1602"/>
      <c r="I9" s="1602"/>
      <c r="J9" s="1602"/>
      <c r="K9" s="1602"/>
      <c r="L9" s="1602"/>
      <c r="M9" s="1602"/>
      <c r="N9" s="1602"/>
      <c r="O9" s="1602"/>
      <c r="P9" s="1602"/>
      <c r="Q9" s="1602"/>
      <c r="R9" s="1602"/>
      <c r="S9" s="1602"/>
      <c r="T9" s="1602"/>
      <c r="U9" s="1602"/>
      <c r="V9" s="1602"/>
      <c r="W9" s="1602"/>
      <c r="X9" s="1602"/>
      <c r="Y9" s="1602"/>
      <c r="Z9" s="1602"/>
      <c r="AA9" s="1602"/>
      <c r="AB9" s="1602"/>
      <c r="AC9" s="1602"/>
      <c r="AD9" s="1602"/>
      <c r="AE9" s="1602"/>
      <c r="AF9" s="1602"/>
      <c r="AG9" s="1602"/>
      <c r="AH9" s="1602"/>
      <c r="AI9" s="1602"/>
      <c r="AJ9" s="1602"/>
      <c r="AK9" s="1602"/>
      <c r="AL9" s="1602"/>
      <c r="AM9" s="1602"/>
      <c r="AN9" s="1602"/>
      <c r="AO9" s="1602"/>
      <c r="AP9" s="1602"/>
      <c r="AQ9" s="1602"/>
      <c r="AR9" s="1602"/>
      <c r="AS9" s="1602"/>
      <c r="AT9" s="1602"/>
    </row>
    <row r="10" spans="1:46" s="659" customFormat="1" ht="12.9" customHeight="1">
      <c r="A10" s="1603" t="s">
        <v>2301</v>
      </c>
      <c r="B10" s="1603"/>
      <c r="C10" s="1603"/>
      <c r="D10" s="1603"/>
      <c r="E10" s="1603"/>
      <c r="F10" s="1603"/>
      <c r="G10" s="1603"/>
      <c r="H10" s="1603"/>
      <c r="I10" s="1603"/>
      <c r="J10" s="1603"/>
      <c r="K10" s="1603"/>
      <c r="L10" s="1603"/>
      <c r="M10" s="1603"/>
      <c r="N10" s="1603"/>
      <c r="O10" s="1603"/>
      <c r="P10" s="1603"/>
      <c r="Q10" s="1603"/>
      <c r="R10" s="1603"/>
      <c r="S10" s="1603"/>
      <c r="T10" s="1603"/>
      <c r="U10" s="1603"/>
      <c r="V10" s="1603"/>
      <c r="W10" s="1603"/>
      <c r="X10" s="1603"/>
      <c r="Y10" s="1603"/>
      <c r="Z10" s="1603"/>
      <c r="AA10" s="1603"/>
      <c r="AB10" s="1603"/>
      <c r="AC10" s="1603"/>
      <c r="AD10" s="1603"/>
      <c r="AE10" s="1603"/>
      <c r="AF10" s="1603"/>
      <c r="AG10" s="1603"/>
      <c r="AH10" s="1603"/>
      <c r="AI10" s="1603"/>
      <c r="AJ10" s="1603"/>
      <c r="AK10" s="1603"/>
      <c r="AL10" s="1603"/>
      <c r="AM10" s="1603"/>
      <c r="AN10" s="1603"/>
      <c r="AO10" s="1603"/>
      <c r="AP10" s="1603"/>
      <c r="AQ10" s="1603"/>
      <c r="AR10" s="1603"/>
      <c r="AS10" s="1603"/>
      <c r="AT10" s="1603"/>
    </row>
    <row r="11" spans="1:46" s="41" customFormat="1" ht="12.9" customHeight="1">
      <c r="A11" s="1604" t="s">
        <v>2321</v>
      </c>
      <c r="B11" s="1604"/>
      <c r="C11" s="1604"/>
      <c r="D11" s="1604"/>
      <c r="E11" s="1604"/>
      <c r="F11" s="1604"/>
      <c r="G11" s="1604"/>
      <c r="H11" s="1604"/>
      <c r="I11" s="1604"/>
      <c r="J11" s="1604"/>
      <c r="K11" s="1604"/>
      <c r="L11" s="1604"/>
      <c r="M11" s="1604"/>
      <c r="N11" s="1604"/>
      <c r="O11" s="1604"/>
      <c r="P11" s="1604"/>
      <c r="Q11" s="1604"/>
      <c r="R11" s="1604"/>
      <c r="S11" s="1604"/>
      <c r="T11" s="1604"/>
      <c r="U11" s="1604"/>
      <c r="V11" s="1604"/>
      <c r="W11" s="1604"/>
      <c r="X11" s="1604"/>
      <c r="Y11" s="1604"/>
      <c r="Z11" s="1604"/>
      <c r="AA11" s="1604"/>
      <c r="AB11" s="1604"/>
      <c r="AC11" s="1604"/>
      <c r="AD11" s="1604"/>
      <c r="AE11" s="1604"/>
      <c r="AF11" s="1604"/>
      <c r="AG11" s="1604"/>
      <c r="AH11" s="1604"/>
      <c r="AI11" s="1604"/>
      <c r="AJ11" s="1604"/>
      <c r="AK11" s="1604"/>
      <c r="AL11" s="1604"/>
      <c r="AM11" s="1604"/>
      <c r="AN11" s="1604"/>
      <c r="AO11" s="1604"/>
      <c r="AP11" s="1604"/>
      <c r="AQ11" s="1604"/>
      <c r="AR11" s="1604"/>
      <c r="AS11" s="1604"/>
      <c r="AT11" s="1604"/>
    </row>
    <row r="12" spans="1:46" ht="12.9" customHeight="1">
      <c r="A12" s="980" t="s">
        <v>1873</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426" t="s">
        <v>2322</v>
      </c>
      <c r="I15" s="1426"/>
      <c r="J15" s="1426"/>
      <c r="K15" s="1426"/>
      <c r="L15" s="1426"/>
      <c r="M15" s="1426"/>
      <c r="N15" s="1426"/>
      <c r="O15" s="1426"/>
      <c r="P15" s="1426"/>
      <c r="Q15" s="1426"/>
      <c r="R15" s="1426"/>
      <c r="S15" s="1426"/>
      <c r="T15" s="1426"/>
      <c r="U15" s="1426"/>
      <c r="V15" s="1426"/>
      <c r="W15" s="1426"/>
      <c r="X15" s="1426"/>
      <c r="Y15" s="1426"/>
      <c r="Z15" s="1426"/>
      <c r="AA15" s="1426"/>
      <c r="AB15" s="1426"/>
      <c r="AC15" s="1426"/>
      <c r="AD15" s="1426"/>
      <c r="AE15" s="1426"/>
      <c r="AF15" s="1426"/>
      <c r="AG15" s="1426"/>
      <c r="AH15" s="1426"/>
      <c r="AI15" s="1426"/>
      <c r="AJ15" s="1426"/>
    </row>
    <row r="16" spans="1:46" ht="12.9" customHeight="1"/>
    <row r="17" spans="1:46" ht="12.9" customHeight="1">
      <c r="A17" s="63" t="s">
        <v>793</v>
      </c>
      <c r="C17" s="5"/>
      <c r="D17" s="5"/>
      <c r="E17" s="5"/>
      <c r="F17" s="5"/>
      <c r="G17" s="5"/>
      <c r="H17" s="1180" t="s">
        <v>2323</v>
      </c>
      <c r="I17" s="1419"/>
      <c r="J17" s="1419"/>
      <c r="K17" s="1419"/>
      <c r="L17" s="1419"/>
      <c r="M17" s="1419"/>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row>
    <row r="18" spans="1:46" ht="12.9" customHeight="1"/>
    <row r="19" spans="1:46" ht="12.9"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29" t="s">
        <v>1352</v>
      </c>
      <c r="B20" s="1429"/>
      <c r="C20" s="1429"/>
      <c r="D20" s="1429"/>
      <c r="E20" s="1429"/>
      <c r="F20" s="1429"/>
      <c r="G20" s="1429"/>
      <c r="H20" s="1429"/>
      <c r="I20" s="1429"/>
      <c r="J20" s="1429"/>
      <c r="K20" s="1429"/>
      <c r="L20" s="1429"/>
      <c r="M20" s="1429"/>
      <c r="N20" s="1429"/>
      <c r="O20" s="1429"/>
      <c r="P20" s="1429"/>
      <c r="Q20" s="1429"/>
      <c r="R20" s="1429"/>
      <c r="S20" s="1429"/>
      <c r="T20" s="1429"/>
      <c r="U20" s="1429"/>
      <c r="V20" s="1429"/>
      <c r="W20" s="1429"/>
      <c r="X20" s="1429"/>
      <c r="Y20" s="1429"/>
      <c r="Z20" s="1429"/>
      <c r="AA20" s="1429"/>
      <c r="AB20" s="1429"/>
      <c r="AC20" s="1429"/>
      <c r="AD20" s="1429"/>
      <c r="AE20" s="1429"/>
      <c r="AF20" s="1429"/>
      <c r="AG20" s="1429"/>
      <c r="AH20" s="1429"/>
      <c r="AI20" s="1429"/>
      <c r="AJ20" s="1429"/>
      <c r="AK20" s="1429"/>
      <c r="AL20" s="1429"/>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2251</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32">
        <f>ROUND('Basis &amp; Credits'!AB55,0)</f>
        <v>1713181</v>
      </c>
      <c r="N25" s="1432"/>
      <c r="O25" s="1432"/>
      <c r="P25" s="1432"/>
      <c r="Q25" s="1432"/>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32">
        <f>'Basis &amp; Credits'!AB76</f>
        <v>0</v>
      </c>
      <c r="N27" s="1432"/>
      <c r="O27" s="1432"/>
      <c r="P27" s="1432"/>
      <c r="Q27" s="1432"/>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2252</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175" t="s">
        <v>482</v>
      </c>
      <c r="P33" s="1175"/>
      <c r="Q33" s="1605" t="s">
        <v>2253</v>
      </c>
      <c r="R33" s="1605"/>
      <c r="S33" s="1605"/>
      <c r="T33" s="1605"/>
      <c r="U33" s="1605"/>
      <c r="V33" s="1605"/>
      <c r="W33" s="1605"/>
      <c r="X33" s="1605"/>
      <c r="Y33" s="1605"/>
      <c r="Z33" s="1605"/>
      <c r="AA33" s="1605"/>
      <c r="AB33" s="1605"/>
      <c r="AC33" s="1605"/>
      <c r="AD33" s="1605"/>
      <c r="AE33" s="1605"/>
      <c r="AF33" s="1605"/>
      <c r="AG33" s="1605"/>
      <c r="AH33" s="1605"/>
      <c r="AI33" s="1605"/>
      <c r="AJ33" s="1605"/>
      <c r="AK33" s="1605"/>
      <c r="AL33" s="1605"/>
      <c r="AM33" s="1605"/>
      <c r="AN33" s="1605"/>
      <c r="AO33" s="1605"/>
      <c r="AP33" s="1605"/>
      <c r="AQ33" s="1605"/>
      <c r="AR33" s="1605"/>
      <c r="AS33" s="1605"/>
      <c r="AT33" s="1605"/>
    </row>
    <row r="34" spans="1:46" ht="12.9" customHeight="1">
      <c r="A34" s="990" t="s">
        <v>2254</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2255</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2256</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0" t="s">
        <v>2257</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0" t="s">
        <v>2259</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0" t="s">
        <v>2262</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2264</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0" t="s">
        <v>2265</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0" t="s">
        <v>2266</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2267</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2268</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2269</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0" t="s">
        <v>2270</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606" t="s">
        <v>2271</v>
      </c>
      <c r="B107" s="1606"/>
      <c r="C107" s="1606"/>
      <c r="D107" s="1606"/>
      <c r="E107" s="1606"/>
      <c r="F107" s="1606"/>
      <c r="G107" s="1606"/>
      <c r="H107" s="1606"/>
      <c r="I107" s="1606"/>
      <c r="J107" s="1606"/>
      <c r="K107" s="1606"/>
      <c r="L107" s="1606"/>
      <c r="M107" s="1606"/>
      <c r="N107" s="1606"/>
      <c r="O107" s="1606"/>
      <c r="P107" s="1606"/>
      <c r="Q107" s="1606"/>
      <c r="R107" s="1606"/>
      <c r="S107" s="1606"/>
      <c r="T107" s="1606"/>
      <c r="U107" s="1606"/>
      <c r="V107" s="1606"/>
      <c r="W107" s="1606"/>
      <c r="X107" s="1606"/>
      <c r="Y107" s="1606"/>
      <c r="Z107" s="1606"/>
      <c r="AA107" s="1606"/>
      <c r="AB107" s="1606"/>
      <c r="AC107" s="1606"/>
      <c r="AD107" s="1606"/>
      <c r="AE107" s="1606"/>
      <c r="AF107" s="1606"/>
      <c r="AG107" s="1606"/>
      <c r="AH107" s="1606"/>
      <c r="AI107" s="1606"/>
      <c r="AJ107" s="1606"/>
      <c r="AK107" s="1606"/>
      <c r="AL107" s="1606"/>
      <c r="AM107" s="1606"/>
      <c r="AN107" s="1606"/>
      <c r="AO107" s="1606"/>
      <c r="AP107" s="1606"/>
      <c r="AQ107" s="1606"/>
      <c r="AR107" s="1606"/>
      <c r="AS107" s="1606"/>
      <c r="AT107" s="1606"/>
    </row>
    <row r="108" spans="1:46" ht="12.9" customHeight="1">
      <c r="A108" s="1606"/>
      <c r="B108" s="1606"/>
      <c r="C108" s="1606"/>
      <c r="D108" s="1606"/>
      <c r="E108" s="1606"/>
      <c r="F108" s="1606"/>
      <c r="G108" s="1606"/>
      <c r="H108" s="1606"/>
      <c r="I108" s="1606"/>
      <c r="J108" s="1606"/>
      <c r="K108" s="1606"/>
      <c r="L108" s="1606"/>
      <c r="M108" s="1606"/>
      <c r="N108" s="1606"/>
      <c r="O108" s="1606"/>
      <c r="P108" s="1606"/>
      <c r="Q108" s="1606"/>
      <c r="R108" s="1606"/>
      <c r="S108" s="1606"/>
      <c r="T108" s="1606"/>
      <c r="U108" s="1606"/>
      <c r="V108" s="1606"/>
      <c r="W108" s="1606"/>
      <c r="X108" s="1606"/>
      <c r="Y108" s="1606"/>
      <c r="Z108" s="1606"/>
      <c r="AA108" s="1606"/>
      <c r="AB108" s="1606"/>
      <c r="AC108" s="1606"/>
      <c r="AD108" s="1606"/>
      <c r="AE108" s="1606"/>
      <c r="AF108" s="1606"/>
      <c r="AG108" s="1606"/>
      <c r="AH108" s="1606"/>
      <c r="AI108" s="1606"/>
      <c r="AJ108" s="1606"/>
      <c r="AK108" s="1606"/>
      <c r="AL108" s="1606"/>
      <c r="AM108" s="1606"/>
      <c r="AN108" s="1606"/>
      <c r="AO108" s="1606"/>
      <c r="AP108" s="1606"/>
      <c r="AQ108" s="1606"/>
      <c r="AR108" s="1606"/>
      <c r="AS108" s="1606"/>
      <c r="AT108" s="1606"/>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0" t="s">
        <v>2272</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78">
        <v>1</v>
      </c>
      <c r="H115" s="1178"/>
      <c r="I115" s="41" t="s">
        <v>412</v>
      </c>
      <c r="J115" s="41"/>
      <c r="L115" s="1427" t="s">
        <v>2324</v>
      </c>
      <c r="M115" s="1428"/>
      <c r="N115" s="1428"/>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27" t="s">
        <v>2325</v>
      </c>
      <c r="D117" s="1428"/>
      <c r="E117" s="1428"/>
      <c r="F117" s="1428"/>
      <c r="G117" s="1428"/>
      <c r="H117" s="1428"/>
      <c r="I117" s="1428"/>
      <c r="J117" s="1428"/>
      <c r="K117" s="142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419" t="s">
        <v>2326</v>
      </c>
      <c r="Z118" s="1419"/>
      <c r="AA118" s="1419"/>
      <c r="AB118" s="1419"/>
      <c r="AC118" s="1419"/>
      <c r="AD118" s="1419"/>
      <c r="AE118" s="1419"/>
      <c r="AF118" s="1419"/>
      <c r="AG118" s="1419"/>
      <c r="AH118" s="1419"/>
      <c r="AI118" s="1419"/>
      <c r="AJ118" s="1419"/>
      <c r="AK118" s="14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419" t="s">
        <v>2327</v>
      </c>
      <c r="Z121" s="1419"/>
      <c r="AA121" s="1419"/>
      <c r="AB121" s="1419"/>
      <c r="AC121" s="1419"/>
      <c r="AD121" s="1419"/>
      <c r="AE121" s="1419"/>
      <c r="AF121" s="1419"/>
      <c r="AG121" s="1419"/>
      <c r="AH121" s="1419"/>
      <c r="AI121" s="1419"/>
      <c r="AJ121" s="1419"/>
      <c r="AK121" s="1419"/>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419" t="s">
        <v>2328</v>
      </c>
      <c r="P156" s="1419"/>
      <c r="Q156" s="1419"/>
      <c r="R156" s="1419"/>
      <c r="S156" s="1419"/>
      <c r="T156" s="1419"/>
      <c r="U156" s="1419"/>
      <c r="V156" s="1419"/>
      <c r="W156" s="1419"/>
      <c r="X156" s="1419"/>
      <c r="Y156" s="1419"/>
      <c r="Z156" s="1419"/>
      <c r="AA156" s="1419"/>
      <c r="AB156" s="1419"/>
      <c r="AC156" s="1419"/>
      <c r="AD156" s="1419"/>
      <c r="AE156" s="1419"/>
      <c r="AF156" s="1419"/>
      <c r="AG156" s="1419"/>
      <c r="AH156" s="1419"/>
      <c r="BT156" t="s">
        <v>79</v>
      </c>
    </row>
    <row r="157" spans="1:72" ht="12.9" customHeight="1">
      <c r="D157" s="339" t="s">
        <v>543</v>
      </c>
      <c r="O157" s="1310" t="s">
        <v>2329</v>
      </c>
      <c r="P157" s="1310"/>
      <c r="Q157" s="1310"/>
      <c r="R157" s="1310"/>
      <c r="S157" s="1310"/>
      <c r="T157" s="1310"/>
      <c r="U157" s="1310"/>
      <c r="V157" s="1310"/>
      <c r="W157" s="1310"/>
      <c r="X157" s="1310"/>
      <c r="Y157" s="1310"/>
      <c r="Z157" s="1310"/>
      <c r="AA157" s="1310"/>
      <c r="AB157" s="1310"/>
      <c r="AC157" s="1310"/>
      <c r="AD157" s="1310"/>
      <c r="AE157" s="1310"/>
      <c r="AF157" s="1310"/>
      <c r="AG157" s="1310"/>
      <c r="AH157" s="1310"/>
      <c r="AI157" t="s">
        <v>709</v>
      </c>
      <c r="BN157" s="30" t="s">
        <v>422</v>
      </c>
      <c r="BT157" t="s">
        <v>28</v>
      </c>
    </row>
    <row r="158" spans="1:72" ht="12.9" customHeight="1">
      <c r="D158" s="12" t="s">
        <v>544</v>
      </c>
      <c r="F158" s="12"/>
      <c r="G158" s="12"/>
      <c r="H158" s="12"/>
      <c r="I158" s="12"/>
      <c r="J158" s="12"/>
      <c r="K158" s="12"/>
      <c r="L158" s="12"/>
      <c r="M158" s="12"/>
      <c r="N158" s="12"/>
      <c r="O158" s="1499" t="s">
        <v>545</v>
      </c>
      <c r="P158" s="1499"/>
      <c r="Q158" s="1499"/>
      <c r="R158" s="1499"/>
      <c r="S158" s="1499"/>
      <c r="T158" s="1499"/>
      <c r="U158" s="1499"/>
      <c r="V158" s="1499"/>
      <c r="W158" s="1499"/>
      <c r="X158" s="1499"/>
      <c r="Y158" s="1499"/>
      <c r="Z158" s="1499"/>
      <c r="AA158" s="1499"/>
      <c r="AB158" s="1499"/>
      <c r="AC158" s="1499"/>
      <c r="AD158" s="1499"/>
      <c r="AE158" s="1499"/>
      <c r="AF158" s="1499"/>
      <c r="AG158" s="1499"/>
      <c r="AH158" s="1499"/>
      <c r="BN158" s="30" t="s">
        <v>423</v>
      </c>
      <c r="BT158" t="s">
        <v>29</v>
      </c>
    </row>
    <row r="159" spans="1:72" ht="12.9" customHeight="1">
      <c r="D159" t="s">
        <v>647</v>
      </c>
      <c r="O159" s="1080" t="s">
        <v>2330</v>
      </c>
      <c r="P159" s="1080"/>
      <c r="Q159" s="1080"/>
      <c r="R159" s="1080"/>
      <c r="S159" s="1080"/>
      <c r="T159" s="1080"/>
      <c r="U159" s="1080"/>
      <c r="V159" s="1080"/>
      <c r="W159" s="1080"/>
      <c r="X159" s="1080"/>
      <c r="Y159" s="1080"/>
      <c r="Z159" s="1080"/>
      <c r="AA159" s="1080"/>
      <c r="AB159" s="1080"/>
      <c r="AC159" s="1080"/>
      <c r="AD159" s="1080"/>
      <c r="AE159" s="1080"/>
      <c r="AF159" s="1080"/>
      <c r="AG159" s="1080"/>
      <c r="AH159" s="1080"/>
      <c r="BN159" s="30" t="s">
        <v>73</v>
      </c>
      <c r="BT159" t="s">
        <v>384</v>
      </c>
    </row>
    <row r="160" spans="1:72" ht="12.9" customHeight="1">
      <c r="D160" t="s">
        <v>648</v>
      </c>
      <c r="O160" s="1419" t="s">
        <v>2331</v>
      </c>
      <c r="P160" s="1419"/>
      <c r="Q160" s="1419"/>
      <c r="R160" s="1419"/>
      <c r="S160" s="1419"/>
      <c r="T160" s="1419"/>
      <c r="U160" s="1419"/>
      <c r="V160" s="1419"/>
      <c r="W160" s="1419"/>
      <c r="X160" s="1419"/>
      <c r="Y160" s="12"/>
      <c r="Z160" s="12"/>
      <c r="AA160" s="12"/>
      <c r="AB160" s="12"/>
      <c r="AC160" s="12"/>
      <c r="AD160" s="12"/>
      <c r="AE160" s="12"/>
      <c r="AF160" s="12"/>
      <c r="BN160" s="30" t="s">
        <v>75</v>
      </c>
      <c r="BT160" t="s">
        <v>385</v>
      </c>
    </row>
    <row r="161" spans="1:72" ht="12.9" customHeight="1">
      <c r="D161" t="s">
        <v>649</v>
      </c>
      <c r="O161" s="1501">
        <v>95453</v>
      </c>
      <c r="P161" s="1501"/>
      <c r="Q161" s="1501"/>
      <c r="R161" s="1501"/>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503" t="s">
        <v>2332</v>
      </c>
      <c r="P162" s="1503"/>
      <c r="Q162" s="1503"/>
      <c r="R162" s="1503"/>
      <c r="S162" s="1503"/>
      <c r="T162" s="1503"/>
      <c r="V162" s="179" t="s">
        <v>12</v>
      </c>
      <c r="W162" s="1502"/>
      <c r="X162" s="1502"/>
      <c r="Y162" s="14"/>
      <c r="Z162" s="14"/>
      <c r="AA162" s="14"/>
      <c r="AB162" s="14"/>
      <c r="AC162" s="14"/>
      <c r="AD162" s="14"/>
      <c r="AE162" s="14"/>
      <c r="AF162" s="14"/>
      <c r="BJ162" t="s">
        <v>108</v>
      </c>
      <c r="BN162" s="30" t="s">
        <v>77</v>
      </c>
      <c r="BT162" t="s">
        <v>387</v>
      </c>
    </row>
    <row r="163" spans="1:72" ht="12.9" customHeight="1">
      <c r="D163" t="s">
        <v>651</v>
      </c>
      <c r="O163" s="1503" t="s">
        <v>2333</v>
      </c>
      <c r="P163" s="1503"/>
      <c r="Q163" s="1503"/>
      <c r="R163" s="1503"/>
      <c r="S163" s="1503"/>
      <c r="T163" s="1503"/>
      <c r="U163" s="14"/>
      <c r="V163" s="14"/>
      <c r="W163" s="14"/>
      <c r="X163" s="14"/>
      <c r="Y163" s="14"/>
      <c r="Z163" s="14"/>
      <c r="AA163" s="14"/>
      <c r="AB163" s="14"/>
      <c r="AC163" s="14"/>
      <c r="AD163" s="14"/>
      <c r="AE163" s="14"/>
      <c r="AF163" s="14"/>
      <c r="BN163" s="30" t="s">
        <v>476</v>
      </c>
      <c r="BT163" t="s">
        <v>388</v>
      </c>
    </row>
    <row r="164" spans="1:72" ht="12.9" customHeight="1">
      <c r="D164" t="s">
        <v>652</v>
      </c>
      <c r="O164" s="1497" t="s">
        <v>2334</v>
      </c>
      <c r="P164" s="1497"/>
      <c r="Q164" s="1497"/>
      <c r="R164" s="1497"/>
      <c r="S164" s="1497"/>
      <c r="T164" s="1497"/>
      <c r="U164" s="1497"/>
      <c r="V164" s="1497"/>
      <c r="W164" s="1497"/>
      <c r="X164" s="1497"/>
      <c r="Y164" s="1497"/>
      <c r="Z164" s="1497"/>
      <c r="AA164" s="1497"/>
      <c r="AB164" s="1497"/>
      <c r="AC164" s="1497"/>
      <c r="AD164" s="1497"/>
      <c r="AE164" s="1497"/>
      <c r="AF164" s="1497"/>
      <c r="AG164" s="1497"/>
      <c r="AH164" s="1497"/>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512" t="s">
        <v>2306</v>
      </c>
      <c r="E167" s="1512"/>
      <c r="F167" s="1512"/>
      <c r="G167" s="1512"/>
      <c r="H167" s="1512"/>
      <c r="I167" s="1512"/>
      <c r="J167" s="1512"/>
      <c r="K167" s="1512"/>
      <c r="L167" s="1512"/>
      <c r="M167" s="1512"/>
      <c r="N167" s="1512"/>
      <c r="O167" s="1512"/>
      <c r="P167" s="1512"/>
      <c r="Q167" s="1512"/>
      <c r="R167" s="1512"/>
      <c r="S167" s="1512"/>
      <c r="T167" s="1512"/>
      <c r="U167" s="1512"/>
      <c r="V167" s="1512"/>
      <c r="W167" s="1512"/>
      <c r="X167" s="1512"/>
      <c r="Y167" s="1512"/>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160" t="s">
        <v>379</v>
      </c>
      <c r="B169" s="1160"/>
      <c r="C169" s="1160"/>
      <c r="D169" s="1160"/>
      <c r="E169" s="1160"/>
      <c r="F169" s="1160"/>
      <c r="G169" s="1160"/>
      <c r="H169" s="1160"/>
      <c r="I169" s="1160"/>
      <c r="J169" s="1160"/>
      <c r="K169" s="1160"/>
      <c r="L169" s="1160"/>
      <c r="M169" s="1160"/>
      <c r="N169" s="1160"/>
      <c r="O169" s="1160"/>
      <c r="P169" s="1160"/>
      <c r="Q169" s="1160"/>
      <c r="R169" s="1160"/>
      <c r="S169" s="1160"/>
      <c r="T169" s="1160"/>
      <c r="U169" s="1160"/>
      <c r="V169" s="1160"/>
      <c r="W169" s="1160"/>
      <c r="X169" s="1160"/>
      <c r="Y169" s="1160"/>
      <c r="Z169" s="1160"/>
      <c r="AA169" s="1160"/>
      <c r="AB169" s="1160"/>
      <c r="AC169" s="1160"/>
      <c r="AD169" s="1160"/>
      <c r="AE169" s="1160"/>
      <c r="AF169" s="1160"/>
      <c r="AG169" s="1160"/>
      <c r="AH169" s="1160"/>
      <c r="AI169" s="1160"/>
      <c r="AJ169" s="1160"/>
      <c r="AK169" s="1160"/>
      <c r="AL169" s="1160"/>
      <c r="AM169" s="1160"/>
      <c r="AN169" s="1160"/>
      <c r="AO169" s="1160"/>
      <c r="AP169" s="1160"/>
      <c r="AQ169" s="1160"/>
      <c r="AR169" s="1160"/>
      <c r="AS169" s="1160"/>
      <c r="AT169" s="1160"/>
      <c r="AU169"/>
      <c r="BN169" s="266" t="s">
        <v>486</v>
      </c>
      <c r="BT169" t="s">
        <v>394</v>
      </c>
    </row>
    <row r="170" spans="1:72" s="960" customFormat="1" ht="12.9" customHeight="1">
      <c r="A170" s="1160"/>
      <c r="B170" s="1160"/>
      <c r="C170" s="1160"/>
      <c r="D170" s="1160"/>
      <c r="E170" s="1160"/>
      <c r="F170" s="1160"/>
      <c r="G170" s="1160"/>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1160"/>
      <c r="AL170" s="1160"/>
      <c r="AM170" s="1160"/>
      <c r="AN170" s="1160"/>
      <c r="AO170" s="1160"/>
      <c r="AP170" s="1160"/>
      <c r="AQ170" s="1160"/>
      <c r="AR170" s="1160"/>
      <c r="AS170" s="1160"/>
      <c r="AT170" s="1160"/>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420" t="s">
        <v>505</v>
      </c>
      <c r="K173" s="1420"/>
      <c r="L173" s="1420"/>
      <c r="M173" s="1420"/>
      <c r="N173" s="1420"/>
      <c r="O173" s="1420"/>
      <c r="P173" s="1420"/>
      <c r="Q173" s="1420"/>
      <c r="R173" s="1420"/>
      <c r="S173" s="1420"/>
      <c r="U173" s="32"/>
      <c r="X173" s="32"/>
      <c r="BN173" s="30" t="s">
        <v>491</v>
      </c>
      <c r="BT173" t="s">
        <v>398</v>
      </c>
    </row>
    <row r="174" spans="1:72" ht="12.9" customHeight="1">
      <c r="C174" s="31"/>
      <c r="D174" t="s">
        <v>438</v>
      </c>
      <c r="U174" s="1175" t="s">
        <v>108</v>
      </c>
      <c r="V174" s="1175"/>
      <c r="BN174" s="30" t="s">
        <v>594</v>
      </c>
      <c r="BT174" t="s">
        <v>399</v>
      </c>
    </row>
    <row r="175" spans="1:72" ht="12.9" customHeight="1">
      <c r="C175" s="12"/>
      <c r="D175" s="33"/>
      <c r="E175" t="s">
        <v>230</v>
      </c>
      <c r="O175" s="34"/>
      <c r="P175" t="s">
        <v>2104</v>
      </c>
      <c r="T175" s="34" t="s">
        <v>231</v>
      </c>
      <c r="U175" s="1121">
        <v>24</v>
      </c>
      <c r="V175" s="1121"/>
      <c r="W175" s="1" t="s">
        <v>232</v>
      </c>
      <c r="X175" s="1500">
        <v>65</v>
      </c>
      <c r="Y175" s="1500"/>
      <c r="BN175" s="30" t="s">
        <v>595</v>
      </c>
      <c r="BT175" t="s">
        <v>400</v>
      </c>
    </row>
    <row r="176" spans="1:72" ht="12.9" customHeight="1">
      <c r="C176" s="31"/>
      <c r="D176" t="s">
        <v>279</v>
      </c>
      <c r="U176" s="1175" t="s">
        <v>482</v>
      </c>
      <c r="V176" s="1175"/>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506"/>
      <c r="K178" s="1506"/>
      <c r="L178" s="370" t="s">
        <v>232</v>
      </c>
      <c r="M178" s="1364"/>
      <c r="N178" s="1364"/>
      <c r="O178" s="361"/>
      <c r="P178" s="361"/>
      <c r="Q178" s="361"/>
      <c r="R178" s="361"/>
      <c r="U178" s="361" t="s">
        <v>1233</v>
      </c>
      <c r="V178" s="361"/>
      <c r="W178" s="361"/>
      <c r="X178" s="361"/>
      <c r="Y178" s="361"/>
      <c r="Z178" s="361"/>
      <c r="AA178" s="361"/>
      <c r="AB178" s="361"/>
      <c r="AD178" s="1507"/>
      <c r="AE178" s="1507"/>
      <c r="AF178" s="1507"/>
      <c r="AG178" s="1507"/>
      <c r="AH178" s="1507"/>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75" t="s">
        <v>482</v>
      </c>
      <c r="Z180" s="1482"/>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31" t="str">
        <f>H17</f>
        <v>Parkside Apartments</v>
      </c>
      <c r="J184" s="1131"/>
      <c r="K184" s="1131"/>
      <c r="L184" s="1131"/>
      <c r="M184" s="1131"/>
      <c r="N184" s="1131"/>
      <c r="O184" s="1131"/>
      <c r="P184" s="1131"/>
      <c r="Q184" s="1131"/>
      <c r="R184" s="1131"/>
      <c r="S184" s="1131"/>
      <c r="T184" s="1131"/>
      <c r="U184" s="1131"/>
      <c r="V184" s="1131"/>
      <c r="W184" s="1131"/>
      <c r="X184" s="1131"/>
      <c r="Y184" s="1131"/>
      <c r="Z184" s="1131"/>
      <c r="AA184" s="1131"/>
      <c r="AB184" s="1131"/>
      <c r="AC184" s="1131"/>
      <c r="AD184" s="1131"/>
      <c r="AE184" s="1131"/>
      <c r="BC184" t="s">
        <v>120</v>
      </c>
      <c r="BN184" s="30" t="s">
        <v>574</v>
      </c>
      <c r="BT184" t="s">
        <v>409</v>
      </c>
    </row>
    <row r="185" spans="1:72" ht="12.9" customHeight="1">
      <c r="C185" s="29"/>
      <c r="D185" t="s">
        <v>429</v>
      </c>
      <c r="I185" s="1130" t="s">
        <v>2335</v>
      </c>
      <c r="J185" s="1130"/>
      <c r="K185" s="1130"/>
      <c r="L185" s="1130"/>
      <c r="M185" s="1130"/>
      <c r="N185" s="1130"/>
      <c r="O185" s="1130"/>
      <c r="P185" s="1130"/>
      <c r="Q185" s="1130"/>
      <c r="R185" s="1130"/>
      <c r="S185" s="1130"/>
      <c r="T185" s="1130"/>
      <c r="U185" s="1130"/>
      <c r="V185" s="1130"/>
      <c r="W185" s="1130"/>
      <c r="X185" s="1130"/>
      <c r="Y185" s="1130"/>
      <c r="Z185" s="1130"/>
      <c r="AA185" s="1130"/>
      <c r="AB185" s="1130"/>
      <c r="AC185" s="1130"/>
      <c r="AD185" s="1130"/>
      <c r="AE185" s="1130"/>
      <c r="BC185" s="41" t="s">
        <v>121</v>
      </c>
      <c r="BN185" s="30" t="s">
        <v>575</v>
      </c>
      <c r="BT185" t="s">
        <v>839</v>
      </c>
    </row>
    <row r="186" spans="1:72" ht="12.9" customHeight="1">
      <c r="C186" s="29"/>
      <c r="E186" t="s">
        <v>62</v>
      </c>
      <c r="BN186" s="30" t="s">
        <v>576</v>
      </c>
      <c r="BT186" t="s">
        <v>840</v>
      </c>
    </row>
    <row r="187" spans="1:72" ht="12.9" customHeight="1">
      <c r="C187" s="29"/>
      <c r="E187" s="1383"/>
      <c r="F187" s="1383"/>
      <c r="G187" s="1383"/>
      <c r="H187" s="1383"/>
      <c r="I187" s="1383"/>
      <c r="J187" s="1383"/>
      <c r="K187" s="1383"/>
      <c r="L187" s="1383"/>
      <c r="M187" s="1383"/>
      <c r="N187" s="1383"/>
      <c r="O187" s="1383"/>
      <c r="P187" s="1383"/>
      <c r="Q187" s="1383"/>
      <c r="R187" s="1383"/>
      <c r="S187" s="1383"/>
      <c r="T187" s="1383"/>
      <c r="U187" s="1383"/>
      <c r="V187" s="1383"/>
      <c r="W187" s="1383"/>
      <c r="X187" s="1383"/>
      <c r="Y187" s="1383"/>
      <c r="Z187" s="1383"/>
      <c r="AA187" s="1383"/>
      <c r="AB187" s="1383"/>
      <c r="AC187" s="1383"/>
      <c r="AD187" s="1383"/>
      <c r="AE187" s="1383"/>
      <c r="BN187" s="30" t="s">
        <v>577</v>
      </c>
      <c r="BT187" t="s">
        <v>841</v>
      </c>
    </row>
    <row r="188" spans="1:72" ht="12.9" customHeight="1">
      <c r="C188" s="29"/>
      <c r="E188" s="1384"/>
      <c r="F188" s="1384"/>
      <c r="G188" s="1384"/>
      <c r="H188" s="1384"/>
      <c r="I188" s="1384"/>
      <c r="J188" s="1384"/>
      <c r="K188" s="1384"/>
      <c r="L188" s="1384"/>
      <c r="M188" s="1384"/>
      <c r="N188" s="1384"/>
      <c r="O188" s="1384"/>
      <c r="P188" s="1384"/>
      <c r="Q188" s="1384"/>
      <c r="R188" s="1384"/>
      <c r="S188" s="1384"/>
      <c r="T188" s="1384"/>
      <c r="U188" s="1384"/>
      <c r="V188" s="1384"/>
      <c r="W188" s="1384"/>
      <c r="X188" s="1384"/>
      <c r="Y188" s="1384"/>
      <c r="Z188" s="1384"/>
      <c r="AA188" s="1384"/>
      <c r="AB188" s="1384"/>
      <c r="AC188" s="1384"/>
      <c r="AD188" s="1384"/>
      <c r="AE188" s="1384"/>
      <c r="BN188" s="30" t="s">
        <v>579</v>
      </c>
      <c r="BT188" t="s">
        <v>842</v>
      </c>
    </row>
    <row r="189" spans="1:72" ht="12.9" customHeight="1">
      <c r="C189" s="29"/>
      <c r="D189" t="s">
        <v>430</v>
      </c>
      <c r="I189" s="1080" t="s">
        <v>2336</v>
      </c>
      <c r="J189" s="1080"/>
      <c r="K189" s="1080"/>
      <c r="L189" s="1080"/>
      <c r="M189" s="1080"/>
      <c r="N189" s="1080"/>
      <c r="O189" s="1080"/>
      <c r="P189" s="1080"/>
      <c r="Q189" t="s">
        <v>432</v>
      </c>
      <c r="T189" s="1080" t="s">
        <v>398</v>
      </c>
      <c r="U189" s="1080"/>
      <c r="V189" s="1080"/>
      <c r="W189" s="1080"/>
      <c r="X189" s="1080"/>
      <c r="Y189" s="1080"/>
      <c r="Z189" s="1080"/>
      <c r="AA189" s="1080"/>
      <c r="AB189" s="1080"/>
      <c r="AC189" s="1080"/>
      <c r="AD189" s="1080"/>
      <c r="AE189" s="1080"/>
      <c r="BC189" t="s">
        <v>79</v>
      </c>
      <c r="BH189" s="41" t="s">
        <v>124</v>
      </c>
      <c r="BN189" s="30" t="s">
        <v>580</v>
      </c>
      <c r="BT189" t="s">
        <v>109</v>
      </c>
    </row>
    <row r="190" spans="1:72" ht="12.9" customHeight="1">
      <c r="C190" s="29"/>
      <c r="D190" t="s">
        <v>433</v>
      </c>
      <c r="I190" s="1130">
        <v>95453</v>
      </c>
      <c r="J190" s="1130"/>
      <c r="K190" s="1130"/>
      <c r="L190" s="1130"/>
      <c r="M190" s="1130"/>
      <c r="N190" s="1130"/>
      <c r="O190" t="s">
        <v>435</v>
      </c>
      <c r="T190" s="1504">
        <v>3</v>
      </c>
      <c r="U190" s="1504"/>
      <c r="V190" s="1504"/>
      <c r="W190" s="1504"/>
      <c r="X190" s="1504"/>
      <c r="Y190" s="1504"/>
      <c r="Z190" s="1504"/>
      <c r="AA190" s="1504"/>
      <c r="AB190" s="1504"/>
      <c r="AC190" s="1504"/>
      <c r="AD190" s="1504"/>
      <c r="AE190" s="1504"/>
      <c r="BC190" t="s">
        <v>663</v>
      </c>
      <c r="BH190" t="s">
        <v>663</v>
      </c>
      <c r="BN190" s="30" t="s">
        <v>421</v>
      </c>
      <c r="BT190" t="s">
        <v>110</v>
      </c>
    </row>
    <row r="191" spans="1:72" ht="12.9" customHeight="1">
      <c r="C191" s="29"/>
      <c r="D191" t="s">
        <v>81</v>
      </c>
      <c r="N191" s="1383" t="s">
        <v>2337</v>
      </c>
      <c r="O191" s="1383"/>
      <c r="P191" s="1383"/>
      <c r="Q191" s="1383"/>
      <c r="R191" s="1383"/>
      <c r="S191" s="1383"/>
      <c r="T191" s="1383"/>
      <c r="U191" s="1383"/>
      <c r="V191" s="1383"/>
      <c r="W191" s="1383"/>
      <c r="X191" s="1383"/>
      <c r="Y191" s="1383"/>
      <c r="Z191" s="1383"/>
      <c r="AA191" s="1383"/>
      <c r="AB191" s="1383"/>
      <c r="AC191" s="1383"/>
      <c r="AD191" s="1383"/>
      <c r="AE191" s="1383"/>
      <c r="BC191" t="s">
        <v>1424</v>
      </c>
      <c r="BH191" t="s">
        <v>1424</v>
      </c>
      <c r="BN191" s="30" t="s">
        <v>582</v>
      </c>
      <c r="BT191" t="s">
        <v>111</v>
      </c>
    </row>
    <row r="192" spans="1:72" ht="12.9" customHeight="1">
      <c r="C192" s="29"/>
      <c r="M192" s="49"/>
      <c r="N192" s="1384"/>
      <c r="O192" s="1384"/>
      <c r="P192" s="1384"/>
      <c r="Q192" s="1384"/>
      <c r="R192" s="1384"/>
      <c r="S192" s="1384"/>
      <c r="T192" s="1384"/>
      <c r="U192" s="1384"/>
      <c r="V192" s="1384"/>
      <c r="W192" s="1384"/>
      <c r="X192" s="1384"/>
      <c r="Y192" s="1384"/>
      <c r="Z192" s="1384"/>
      <c r="AA192" s="1384"/>
      <c r="AB192" s="1384"/>
      <c r="AC192" s="1384"/>
      <c r="AD192" s="1384"/>
      <c r="AE192" s="1384"/>
      <c r="BC192" t="s">
        <v>664</v>
      </c>
      <c r="BH192" t="s">
        <v>615</v>
      </c>
      <c r="BN192" s="30" t="s">
        <v>583</v>
      </c>
      <c r="BT192" t="s">
        <v>112</v>
      </c>
    </row>
    <row r="193" spans="1:73" ht="12.9" customHeight="1">
      <c r="C193" s="29"/>
      <c r="D193" t="s">
        <v>436</v>
      </c>
      <c r="T193" s="1175" t="s">
        <v>108</v>
      </c>
      <c r="U193" s="1175"/>
      <c r="W193" s="41" t="s">
        <v>1886</v>
      </c>
      <c r="AA193" s="1510">
        <v>2024</v>
      </c>
      <c r="AB193" s="1510"/>
      <c r="AC193" s="1510"/>
      <c r="BC193" t="s">
        <v>564</v>
      </c>
      <c r="BH193" s="5" t="s">
        <v>1429</v>
      </c>
      <c r="BN193" s="30" t="s">
        <v>584</v>
      </c>
      <c r="BT193" t="s">
        <v>113</v>
      </c>
    </row>
    <row r="194" spans="1:73" ht="12.9" customHeight="1">
      <c r="C194" s="29"/>
      <c r="D194" t="s">
        <v>118</v>
      </c>
      <c r="T194" s="1132" t="s">
        <v>482</v>
      </c>
      <c r="U194" s="1132"/>
      <c r="W194" t="s">
        <v>63</v>
      </c>
      <c r="AI194" s="1175" t="s">
        <v>482</v>
      </c>
      <c r="AJ194" s="1175"/>
      <c r="AX194" s="5" t="s">
        <v>124</v>
      </c>
      <c r="BC194" t="s">
        <v>615</v>
      </c>
      <c r="BN194" s="30" t="s">
        <v>753</v>
      </c>
      <c r="BT194" t="s">
        <v>114</v>
      </c>
    </row>
    <row r="195" spans="1:73" ht="12.9" customHeight="1">
      <c r="C195" s="29"/>
      <c r="D195" s="41" t="s">
        <v>1734</v>
      </c>
      <c r="T195" s="1132" t="s">
        <v>482</v>
      </c>
      <c r="U195" s="1132"/>
      <c r="X195" s="797" t="s">
        <v>2106</v>
      </c>
      <c r="AX195" s="5" t="s">
        <v>1150</v>
      </c>
      <c r="BN195" s="30" t="s">
        <v>754</v>
      </c>
      <c r="BT195" t="s">
        <v>115</v>
      </c>
    </row>
    <row r="196" spans="1:73" ht="12.9" customHeight="1">
      <c r="C196" s="29"/>
      <c r="D196" s="5" t="s">
        <v>1155</v>
      </c>
      <c r="T196" s="1132" t="s">
        <v>482</v>
      </c>
      <c r="U196" s="1132"/>
      <c r="AK196" s="1509"/>
      <c r="AL196" s="1509"/>
      <c r="AX196" s="41" t="s">
        <v>2199</v>
      </c>
      <c r="BN196" s="30" t="s">
        <v>755</v>
      </c>
      <c r="BT196" t="s">
        <v>116</v>
      </c>
    </row>
    <row r="197" spans="1:73" ht="12.9" customHeight="1">
      <c r="C197" s="29"/>
      <c r="D197" s="41" t="s">
        <v>1887</v>
      </c>
      <c r="T197" s="1175" t="s">
        <v>482</v>
      </c>
      <c r="U197" s="1175"/>
      <c r="AX197" s="5" t="s">
        <v>1151</v>
      </c>
      <c r="BC197" t="s">
        <v>79</v>
      </c>
      <c r="BN197" s="30" t="s">
        <v>756</v>
      </c>
      <c r="BT197" t="s">
        <v>117</v>
      </c>
    </row>
    <row r="198" spans="1:73" ht="12.9" customHeight="1">
      <c r="C198" s="29"/>
      <c r="D198" s="41" t="s">
        <v>1915</v>
      </c>
      <c r="W198" s="1423" t="s">
        <v>482</v>
      </c>
      <c r="X198" s="1175"/>
      <c r="AX198" s="5" t="s">
        <v>1152</v>
      </c>
      <c r="BC198" t="s">
        <v>1103</v>
      </c>
      <c r="BN198" s="30" t="s">
        <v>757</v>
      </c>
      <c r="BT198" t="s">
        <v>803</v>
      </c>
    </row>
    <row r="199" spans="1:73" ht="12.9" customHeight="1">
      <c r="C199" s="29"/>
      <c r="L199" s="309"/>
      <c r="M199" s="309"/>
      <c r="N199" s="309"/>
      <c r="O199" s="309"/>
      <c r="P199" s="309"/>
      <c r="Q199" s="922" t="s">
        <v>2107</v>
      </c>
      <c r="R199" s="1180" t="s">
        <v>2018</v>
      </c>
      <c r="S199" s="1180"/>
      <c r="T199" s="1180"/>
      <c r="U199" s="1180"/>
      <c r="V199" s="1180"/>
      <c r="W199" s="1180"/>
      <c r="X199" s="1180"/>
      <c r="Y199" s="1180"/>
      <c r="Z199" s="1180"/>
      <c r="AA199" s="1180"/>
      <c r="AB199" s="1180"/>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31" t="str">
        <f>IF(AND(M25&gt;0,M27&gt;0),"Federal and State","Federal Only")</f>
        <v>Federal Only</v>
      </c>
      <c r="E203" s="1131"/>
      <c r="F203" s="1131"/>
      <c r="G203" s="1131"/>
      <c r="H203" s="1131"/>
      <c r="I203" s="1131"/>
      <c r="J203" s="1131"/>
      <c r="K203" s="1131"/>
      <c r="L203" s="1131"/>
      <c r="M203" s="1131"/>
      <c r="P203" s="1513">
        <f>M25</f>
        <v>1713181</v>
      </c>
      <c r="Q203" s="1513"/>
      <c r="R203" s="1513"/>
      <c r="S203" s="1513"/>
      <c r="T203" s="1513"/>
      <c r="U203" s="1513"/>
      <c r="W203" s="1513">
        <f>M27</f>
        <v>0</v>
      </c>
      <c r="X203" s="1513"/>
      <c r="Y203" s="1513"/>
      <c r="Z203" s="1513"/>
      <c r="AA203" s="1513"/>
      <c r="AB203" s="1513"/>
      <c r="AV203" t="s">
        <v>124</v>
      </c>
      <c r="AX203" s="5" t="s">
        <v>564</v>
      </c>
      <c r="BC203" t="s">
        <v>1434</v>
      </c>
      <c r="BN203" s="30" t="s">
        <v>661</v>
      </c>
      <c r="BT203" s="40" t="s">
        <v>808</v>
      </c>
      <c r="BU203" s="21"/>
    </row>
    <row r="204" spans="1:73" ht="12.9" customHeight="1">
      <c r="C204" s="29"/>
      <c r="P204" s="1434" t="s">
        <v>175</v>
      </c>
      <c r="Q204" s="1434"/>
      <c r="R204" s="1434"/>
      <c r="S204" s="1434"/>
      <c r="T204" s="1434"/>
      <c r="U204" s="1434"/>
      <c r="V204" s="36"/>
      <c r="W204" s="1434" t="s">
        <v>176</v>
      </c>
      <c r="X204" s="1434"/>
      <c r="Y204" s="1434"/>
      <c r="Z204" s="1434"/>
      <c r="AA204" s="1434"/>
      <c r="AB204" s="1434"/>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419" t="s">
        <v>2446</v>
      </c>
      <c r="E208" s="1419"/>
      <c r="F208" s="1419"/>
      <c r="G208" s="1419"/>
      <c r="H208" s="1419"/>
      <c r="I208" s="1419"/>
      <c r="J208" s="1419"/>
      <c r="K208" s="1419"/>
      <c r="L208" s="1419"/>
      <c r="M208" s="1419"/>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80" t="s">
        <v>2291</v>
      </c>
      <c r="E211" s="1419"/>
      <c r="F211" s="1419"/>
      <c r="G211" s="1419"/>
      <c r="H211" s="1419"/>
      <c r="I211" s="1419"/>
      <c r="J211" s="1419"/>
      <c r="K211" s="1419"/>
      <c r="L211" s="1419"/>
      <c r="M211" s="1419"/>
      <c r="N211" s="1419"/>
      <c r="O211" s="1419"/>
      <c r="P211" s="1419"/>
      <c r="X211" s="803"/>
      <c r="Y211" s="1505" t="s">
        <v>482</v>
      </c>
      <c r="Z211" s="1505"/>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419" t="s">
        <v>663</v>
      </c>
      <c r="E214" s="1419"/>
      <c r="F214" s="1419"/>
      <c r="G214" s="1419"/>
      <c r="H214" s="1419"/>
      <c r="I214" s="1419"/>
      <c r="J214" s="1419"/>
      <c r="K214" s="1419"/>
      <c r="L214" s="1419"/>
      <c r="M214" s="1419"/>
      <c r="N214" s="1419"/>
      <c r="O214" s="1419"/>
      <c r="P214" s="1419"/>
      <c r="Q214" s="1419"/>
      <c r="R214" s="1419"/>
      <c r="S214" s="1419"/>
      <c r="T214" s="1419"/>
      <c r="U214" s="1419"/>
      <c r="V214" s="1419"/>
      <c r="W214" s="1419"/>
      <c r="X214" s="1419"/>
      <c r="Y214" s="1419"/>
      <c r="Z214" s="1419"/>
      <c r="AX214" t="s">
        <v>2019</v>
      </c>
      <c r="BC214" t="s">
        <v>630</v>
      </c>
      <c r="BN214" s="30" t="s">
        <v>443</v>
      </c>
      <c r="BT214" s="40" t="s">
        <v>817</v>
      </c>
    </row>
    <row r="215" spans="1:72" ht="12.9" customHeight="1">
      <c r="D215" s="35"/>
      <c r="E215" s="41" t="s">
        <v>2102</v>
      </c>
      <c r="AC215" s="1511"/>
      <c r="AD215" s="1511"/>
      <c r="AF215" s="1508">
        <f>IFERROR(AC215/AG433,"")</f>
        <v>0</v>
      </c>
      <c r="AG215" s="1508"/>
      <c r="AX215" t="s">
        <v>2020</v>
      </c>
      <c r="BC215" t="s">
        <v>627</v>
      </c>
    </row>
    <row r="216" spans="1:72" ht="12.9" customHeight="1">
      <c r="D216" s="35"/>
      <c r="E216" s="938" t="s">
        <v>1432</v>
      </c>
      <c r="AX216" t="s">
        <v>2021</v>
      </c>
      <c r="BC216" t="s">
        <v>744</v>
      </c>
    </row>
    <row r="217" spans="1:72" ht="12.9" customHeight="1">
      <c r="E217" s="1431" t="s">
        <v>124</v>
      </c>
      <c r="F217" s="1431"/>
      <c r="G217" s="1431"/>
      <c r="H217" s="1431"/>
      <c r="I217" s="1431"/>
      <c r="J217" s="1431"/>
      <c r="K217" s="1431"/>
      <c r="L217" s="1431"/>
      <c r="M217" s="1431"/>
      <c r="N217" s="1431"/>
      <c r="O217" s="1431"/>
      <c r="P217" s="1431"/>
      <c r="Q217" s="1431"/>
      <c r="R217" s="1431"/>
      <c r="S217" s="1431"/>
      <c r="T217" s="1431"/>
      <c r="U217" s="1431"/>
      <c r="V217" s="1431"/>
      <c r="W217" s="1431"/>
      <c r="X217" s="1431"/>
      <c r="Y217" s="1431"/>
      <c r="Z217" s="1431"/>
      <c r="AA217" s="49"/>
      <c r="AB217" s="49"/>
      <c r="AC217" s="49"/>
      <c r="AD217" s="49"/>
      <c r="AE217" s="49"/>
      <c r="AF217" s="49"/>
      <c r="AX217" s="41" t="s">
        <v>2023</v>
      </c>
      <c r="BC217" t="s">
        <v>628</v>
      </c>
    </row>
    <row r="218" spans="1:72" ht="12.9" customHeight="1">
      <c r="E218" s="41" t="s">
        <v>1959</v>
      </c>
      <c r="AA218" s="49"/>
      <c r="AC218" s="1390"/>
      <c r="AD218" s="1390"/>
      <c r="AE218" s="1390"/>
      <c r="AF218" s="1390"/>
      <c r="AG218" s="1390"/>
      <c r="AH218" s="1390"/>
      <c r="AI218" s="1390"/>
      <c r="AJ218" s="1390"/>
      <c r="AK218" s="1390"/>
      <c r="AL218" s="1390"/>
      <c r="AM218" s="1390"/>
      <c r="BC218" t="s">
        <v>629</v>
      </c>
      <c r="BI218" s="39"/>
    </row>
    <row r="219" spans="1:72" ht="12.9" customHeight="1">
      <c r="E219" s="41" t="s">
        <v>1960</v>
      </c>
      <c r="AA219" s="49"/>
      <c r="AC219" s="1390"/>
      <c r="AD219" s="1390"/>
      <c r="AE219" s="1390"/>
      <c r="AF219" s="1390"/>
      <c r="AG219" s="1390"/>
      <c r="AH219" s="1390"/>
      <c r="AI219" s="1390"/>
      <c r="AJ219" s="1390"/>
      <c r="AK219" s="1390"/>
      <c r="AL219" s="1390"/>
      <c r="AM219" s="139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80" t="s">
        <v>79</v>
      </c>
      <c r="E223" s="1180"/>
      <c r="F223" s="1180"/>
      <c r="G223" s="1180"/>
      <c r="H223" s="1180"/>
      <c r="I223" s="1180"/>
      <c r="J223" s="1180"/>
      <c r="K223" s="1180"/>
      <c r="L223" s="1180"/>
      <c r="M223" s="1180"/>
      <c r="N223" s="1180"/>
      <c r="O223" s="1180"/>
      <c r="P223" s="1180"/>
      <c r="Q223" s="1180"/>
      <c r="R223" s="1180"/>
      <c r="S223" s="1180"/>
      <c r="T223" s="1180"/>
      <c r="U223" s="1180"/>
      <c r="V223" s="1180"/>
      <c r="W223" s="1180"/>
      <c r="X223" s="1180"/>
      <c r="Y223" s="1180"/>
      <c r="Z223" s="1180"/>
      <c r="AA223" s="1180"/>
      <c r="AB223" s="1180"/>
      <c r="AC223" s="1180"/>
      <c r="AD223" s="1180"/>
      <c r="AE223" s="1180"/>
      <c r="AF223" s="1180"/>
      <c r="AG223" s="1180"/>
      <c r="AH223" s="1180"/>
      <c r="AI223" s="1180"/>
      <c r="AJ223" s="21"/>
      <c r="AK223" s="21"/>
      <c r="AL223" s="21"/>
    </row>
    <row r="224" spans="1:72" ht="12.9" customHeight="1">
      <c r="AJ224" s="5"/>
    </row>
    <row r="225" spans="1:59" ht="12.9" customHeight="1">
      <c r="D225" t="s">
        <v>557</v>
      </c>
      <c r="O225" s="1175">
        <v>4</v>
      </c>
      <c r="P225" s="1175"/>
    </row>
    <row r="226" spans="1:59" ht="12.9" customHeight="1">
      <c r="D226" t="s">
        <v>558</v>
      </c>
      <c r="O226" s="1175">
        <v>4</v>
      </c>
      <c r="P226" s="1175"/>
      <c r="BB226" s="5" t="s">
        <v>638</v>
      </c>
      <c r="BG226" s="410">
        <f>IF(AND(AND($M$251="for profit",$M$259="for profit",$M$267="nonprofit")),2,0)</f>
        <v>2</v>
      </c>
    </row>
    <row r="227" spans="1:59" ht="12.9" customHeight="1">
      <c r="D227" t="s">
        <v>559</v>
      </c>
      <c r="O227" s="1175">
        <v>2</v>
      </c>
      <c r="P227" s="1175"/>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160" t="s">
        <v>495</v>
      </c>
      <c r="B231" s="1160"/>
      <c r="C231" s="1160"/>
      <c r="D231" s="1160"/>
      <c r="E231" s="1160"/>
      <c r="F231" s="1160"/>
      <c r="G231" s="1160"/>
      <c r="H231" s="1160"/>
      <c r="I231" s="1160"/>
      <c r="J231" s="1160"/>
      <c r="K231" s="1160"/>
      <c r="L231" s="1160"/>
      <c r="M231" s="1160"/>
      <c r="N231" s="1160"/>
      <c r="O231" s="1160"/>
      <c r="P231" s="1160"/>
      <c r="Q231" s="1160"/>
      <c r="R231" s="1160"/>
      <c r="S231" s="1160"/>
      <c r="T231" s="1160"/>
      <c r="U231" s="1160"/>
      <c r="V231" s="1160"/>
      <c r="W231" s="1160"/>
      <c r="X231" s="1160"/>
      <c r="Y231" s="1160"/>
      <c r="Z231" s="1160"/>
      <c r="AA231" s="1160"/>
      <c r="AB231" s="1160"/>
      <c r="AC231" s="1160"/>
      <c r="AD231" s="1160"/>
      <c r="AE231" s="1160"/>
      <c r="AF231" s="1160"/>
      <c r="AG231" s="1160"/>
      <c r="AH231" s="1160"/>
      <c r="AI231" s="1160"/>
      <c r="AJ231" s="1160"/>
      <c r="AK231" s="1160"/>
      <c r="AL231" s="1160"/>
      <c r="AM231" s="1160"/>
      <c r="AN231" s="1160"/>
      <c r="AO231" s="1160"/>
      <c r="AP231" s="1160"/>
      <c r="AQ231" s="1160"/>
      <c r="AR231" s="1160"/>
      <c r="AS231" s="1160"/>
      <c r="AT231" s="1160"/>
    </row>
    <row r="232" spans="1:59" ht="12.9" customHeight="1">
      <c r="A232" s="1160"/>
      <c r="B232" s="1160"/>
      <c r="C232" s="1160"/>
      <c r="D232" s="1160"/>
      <c r="E232" s="1160"/>
      <c r="F232" s="1160"/>
      <c r="G232" s="1160"/>
      <c r="H232" s="1160"/>
      <c r="I232" s="1160"/>
      <c r="J232" s="1160"/>
      <c r="K232" s="1160"/>
      <c r="L232" s="1160"/>
      <c r="M232" s="1160"/>
      <c r="N232" s="1160"/>
      <c r="O232" s="1160"/>
      <c r="P232" s="1160"/>
      <c r="Q232" s="1160"/>
      <c r="R232" s="1160"/>
      <c r="S232" s="1160"/>
      <c r="T232" s="1160"/>
      <c r="U232" s="1160"/>
      <c r="V232" s="1160"/>
      <c r="W232" s="1160"/>
      <c r="X232" s="1160"/>
      <c r="Y232" s="1160"/>
      <c r="Z232" s="1160"/>
      <c r="AA232" s="1160"/>
      <c r="AB232" s="1160"/>
      <c r="AC232" s="1160"/>
      <c r="AD232" s="1160"/>
      <c r="AE232" s="1160"/>
      <c r="AF232" s="1160"/>
      <c r="AG232" s="1160"/>
      <c r="AH232" s="1160"/>
      <c r="AI232" s="1160"/>
      <c r="AJ232" s="1160"/>
      <c r="AK232" s="1160"/>
      <c r="AL232" s="1160"/>
      <c r="AM232" s="1160"/>
      <c r="AN232" s="1160"/>
      <c r="AO232" s="1160"/>
      <c r="AP232" s="1160"/>
      <c r="AQ232" s="1160"/>
      <c r="AR232" s="1160"/>
      <c r="AS232" s="1160"/>
      <c r="AT232" s="1160"/>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33" t="str">
        <f>H15</f>
        <v>Lakeport Fenway Avenue LP</v>
      </c>
      <c r="N235" s="1433"/>
      <c r="O235" s="1433"/>
      <c r="P235" s="1433"/>
      <c r="Q235" s="1433"/>
      <c r="R235" s="1433"/>
      <c r="S235" s="1433"/>
      <c r="T235" s="1433"/>
      <c r="U235" s="1433"/>
      <c r="V235" s="1433"/>
      <c r="W235" s="1433"/>
      <c r="X235" s="1433"/>
      <c r="Y235" s="1433"/>
      <c r="Z235" s="1433"/>
      <c r="AA235" s="1433"/>
      <c r="AB235" s="1433"/>
      <c r="AC235" s="1433"/>
      <c r="AD235" s="1433"/>
      <c r="AE235" s="1433"/>
      <c r="AF235" s="1433"/>
      <c r="AG235" s="1433"/>
      <c r="AH235" s="1433"/>
      <c r="AI235" s="1433"/>
      <c r="AJ235" s="1433"/>
      <c r="AK235" s="1433"/>
      <c r="BB235" s="3"/>
      <c r="BG235" s="5"/>
    </row>
    <row r="236" spans="1:59" ht="12.9" customHeight="1">
      <c r="D236" s="5" t="s">
        <v>372</v>
      </c>
      <c r="E236" s="5"/>
      <c r="F236" s="5"/>
      <c r="G236" s="5"/>
      <c r="H236" s="5"/>
      <c r="I236" s="5"/>
      <c r="J236" s="5"/>
      <c r="K236" s="5"/>
      <c r="M236" s="1419" t="s">
        <v>2338</v>
      </c>
      <c r="N236" s="1419"/>
      <c r="O236" s="1419"/>
      <c r="P236" s="1419"/>
      <c r="Q236" s="1419"/>
      <c r="R236" s="1419"/>
      <c r="S236" s="1419"/>
      <c r="T236" s="1419"/>
      <c r="U236" s="1419"/>
      <c r="V236" s="1419"/>
      <c r="W236" s="1419"/>
      <c r="X236" s="1419"/>
      <c r="Y236" s="1419"/>
      <c r="Z236" s="1419"/>
      <c r="AA236" s="1419"/>
      <c r="AB236" s="1419"/>
      <c r="AC236" s="1419"/>
      <c r="AD236" s="1419"/>
      <c r="AE236" s="1419"/>
      <c r="AM236" s="41"/>
      <c r="AN236" s="41"/>
      <c r="BB236" t="s">
        <v>637</v>
      </c>
      <c r="BG236" s="410">
        <f>IF(AND(AND($M$251="nonprofit",$M$259="nonprofit",$M$267="nonprofit")),1,0)</f>
        <v>0</v>
      </c>
    </row>
    <row r="237" spans="1:59" ht="12.9" customHeight="1">
      <c r="D237" s="5" t="s">
        <v>430</v>
      </c>
      <c r="E237" s="5"/>
      <c r="M237" s="1419" t="s">
        <v>2325</v>
      </c>
      <c r="N237" s="1419"/>
      <c r="O237" s="1419"/>
      <c r="P237" s="1419"/>
      <c r="Q237" s="1419"/>
      <c r="R237" s="1419"/>
      <c r="S237" s="1419"/>
      <c r="T237" s="1419"/>
      <c r="V237" s="42" t="s">
        <v>373</v>
      </c>
      <c r="W237" s="1311" t="s">
        <v>2339</v>
      </c>
      <c r="X237" s="1310"/>
      <c r="Y237" s="5" t="s">
        <v>433</v>
      </c>
      <c r="AC237" s="1419">
        <v>95521</v>
      </c>
      <c r="AD237" s="1419"/>
      <c r="AE237" s="1419"/>
      <c r="AN237" s="41"/>
      <c r="BB237" t="s">
        <v>637</v>
      </c>
      <c r="BG237" s="410">
        <f>IF(AND(AND($M$251="nonprofit",$M$259="nonprofit",$M$267="(select one)")),1,0)</f>
        <v>0</v>
      </c>
    </row>
    <row r="238" spans="1:59" ht="12.9" customHeight="1">
      <c r="D238" s="5" t="s">
        <v>374</v>
      </c>
      <c r="E238" s="5"/>
      <c r="F238" s="5"/>
      <c r="G238" s="5"/>
      <c r="H238" s="5"/>
      <c r="I238" s="5"/>
      <c r="J238" s="5"/>
      <c r="K238" s="28"/>
      <c r="M238" s="1419" t="s">
        <v>2340</v>
      </c>
      <c r="N238" s="1419"/>
      <c r="O238" s="1419"/>
      <c r="P238" s="1419"/>
      <c r="Q238" s="1419"/>
      <c r="R238" s="1419"/>
      <c r="S238" s="1419"/>
      <c r="T238" s="1419"/>
      <c r="U238" s="1419"/>
      <c r="V238" s="1419"/>
      <c r="W238" s="1419"/>
      <c r="X238" s="1419"/>
      <c r="Y238" s="1419"/>
      <c r="Z238" s="1419"/>
      <c r="AA238" s="1419"/>
      <c r="AB238" s="1419"/>
      <c r="AC238" s="1419"/>
      <c r="AD238" s="1419"/>
      <c r="AE238" s="1419"/>
      <c r="AI238" s="5"/>
      <c r="AJ238" s="5"/>
      <c r="AK238" s="5"/>
      <c r="AL238" s="5"/>
      <c r="AN238" s="41"/>
      <c r="BB238" t="s">
        <v>637</v>
      </c>
      <c r="BG238" s="410">
        <f>IF(AND(AND($M$251="nonprofit",$M$259="(select one)",$M$267="(select one)")),1,0)</f>
        <v>0</v>
      </c>
    </row>
    <row r="239" spans="1:59" ht="12.9" customHeight="1">
      <c r="D239" s="5" t="s">
        <v>375</v>
      </c>
      <c r="E239" s="5"/>
      <c r="F239" s="5"/>
      <c r="M239" s="1090" t="s">
        <v>2341</v>
      </c>
      <c r="N239" s="1090"/>
      <c r="O239" s="1090"/>
      <c r="P239" s="1090"/>
      <c r="Q239" s="1090"/>
      <c r="R239" s="1090"/>
      <c r="S239" s="5" t="s">
        <v>818</v>
      </c>
      <c r="T239" s="5"/>
      <c r="U239" s="1310"/>
      <c r="V239" s="1310"/>
      <c r="W239" s="1310"/>
      <c r="X239" s="5" t="s">
        <v>376</v>
      </c>
      <c r="Z239" s="1090" t="s">
        <v>2342</v>
      </c>
      <c r="AA239" s="1090"/>
      <c r="AB239" s="1090"/>
      <c r="AC239" s="1090"/>
      <c r="AD239" s="1090"/>
      <c r="AE239" s="1090"/>
      <c r="AM239" s="41"/>
      <c r="AN239" s="41"/>
      <c r="BB239" t="s">
        <v>1009</v>
      </c>
      <c r="BG239" s="410">
        <f>IF(AND(AND($M$251="for profit",$M$259="for profit",$M$267="for profit")),3,0)</f>
        <v>0</v>
      </c>
    </row>
    <row r="240" spans="1:59" ht="12.9" customHeight="1">
      <c r="D240" s="5" t="s">
        <v>377</v>
      </c>
      <c r="E240" s="5"/>
      <c r="F240" s="5"/>
      <c r="M240" s="1497" t="s">
        <v>2343</v>
      </c>
      <c r="N240" s="1497"/>
      <c r="O240" s="1497"/>
      <c r="P240" s="1497"/>
      <c r="Q240" s="1497"/>
      <c r="R240" s="1497"/>
      <c r="S240" s="1497"/>
      <c r="T240" s="1497"/>
      <c r="U240" s="1497"/>
      <c r="V240" s="1497"/>
      <c r="W240" s="1497"/>
      <c r="X240" s="1497"/>
      <c r="Y240" s="1497"/>
      <c r="Z240" s="1497"/>
      <c r="AA240" s="1497"/>
      <c r="AB240" s="1497"/>
      <c r="AC240" s="1497"/>
      <c r="AD240" s="1497"/>
      <c r="AE240" s="1497"/>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130" t="s">
        <v>628</v>
      </c>
      <c r="N241" s="1130"/>
      <c r="O241" s="1130"/>
      <c r="P241" s="1130"/>
      <c r="Q241" s="1130"/>
      <c r="R241" s="1130"/>
      <c r="S241" s="1130"/>
      <c r="T241" s="1130"/>
      <c r="U241" s="5" t="s">
        <v>1144</v>
      </c>
      <c r="AA241" s="1430"/>
      <c r="AB241" s="1430"/>
      <c r="AC241" s="1430"/>
      <c r="AD241" s="1430"/>
      <c r="AE241" s="1430"/>
      <c r="AF241" s="1430"/>
      <c r="AG241" s="1430"/>
      <c r="AH241" s="1430"/>
      <c r="AI241" s="1430"/>
      <c r="AJ241" s="1430"/>
      <c r="AK241" s="1430"/>
      <c r="AL241" s="41"/>
      <c r="AM241" s="5"/>
      <c r="AN241" s="41"/>
      <c r="AO241" s="41"/>
      <c r="BB241" t="s">
        <v>1009</v>
      </c>
      <c r="BG241" s="411">
        <f>IF(AND(AND($M$251="for profit",$M$259="(select one)",$M$267="(select one)")),3,0)</f>
        <v>0</v>
      </c>
    </row>
    <row r="242" spans="1:67" ht="12.9" customHeight="1">
      <c r="D242" t="s">
        <v>631</v>
      </c>
      <c r="M242" s="1180"/>
      <c r="N242" s="1080"/>
      <c r="O242" s="1080"/>
      <c r="P242" s="1080"/>
      <c r="Q242" s="1080"/>
      <c r="R242" s="1080"/>
      <c r="S242" s="1080"/>
      <c r="T242" s="1080"/>
      <c r="U242" s="1080"/>
      <c r="V242" s="1080"/>
      <c r="W242" s="1080"/>
      <c r="X242" s="1080"/>
      <c r="Y242" s="1080"/>
      <c r="Z242" s="1080"/>
      <c r="AA242" s="1080"/>
      <c r="AB242" s="1080"/>
      <c r="AC242" s="1080"/>
      <c r="AD242" s="1080"/>
      <c r="AE242" s="1080"/>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426" t="s">
        <v>2345</v>
      </c>
      <c r="N245" s="1426"/>
      <c r="O245" s="1426"/>
      <c r="P245" s="1426"/>
      <c r="Q245" s="1426"/>
      <c r="R245" s="1426"/>
      <c r="S245" s="1426"/>
      <c r="T245" s="1426"/>
      <c r="U245" s="1426"/>
      <c r="V245" s="1426"/>
      <c r="W245" s="1426"/>
      <c r="X245" s="1426"/>
      <c r="Y245" s="1426"/>
      <c r="Z245" s="1426"/>
      <c r="AA245" s="1426"/>
      <c r="AB245" s="1426"/>
      <c r="AC245" s="1426"/>
      <c r="AD245" s="1426"/>
      <c r="AE245" s="1426"/>
      <c r="AF245" s="1496" t="s">
        <v>2344</v>
      </c>
      <c r="AG245" s="1496"/>
      <c r="AH245" s="1496"/>
      <c r="AI245" s="1496"/>
      <c r="AJ245" s="1496"/>
      <c r="AK245" s="1496"/>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419" t="s">
        <v>2338</v>
      </c>
      <c r="N246" s="1419"/>
      <c r="O246" s="1419"/>
      <c r="P246" s="1419"/>
      <c r="Q246" s="1419"/>
      <c r="R246" s="1419"/>
      <c r="S246" s="1419"/>
      <c r="T246" s="1419"/>
      <c r="U246" s="1419"/>
      <c r="V246" s="1419"/>
      <c r="W246" s="1419"/>
      <c r="X246" s="1419"/>
      <c r="Y246" s="1419"/>
      <c r="Z246" s="1419"/>
      <c r="AA246" s="1419"/>
      <c r="AB246" s="1419"/>
      <c r="AC246" s="1419"/>
      <c r="AD246" s="1419"/>
      <c r="AE246" s="1419"/>
      <c r="AL246" s="5"/>
      <c r="AN246" s="41"/>
      <c r="BB246" s="5" t="s">
        <v>454</v>
      </c>
      <c r="BH246">
        <v>3</v>
      </c>
      <c r="BI246" t="s">
        <v>636</v>
      </c>
    </row>
    <row r="247" spans="1:67" ht="12.9" customHeight="1">
      <c r="A247" s="28"/>
      <c r="B247" s="5"/>
      <c r="C247" s="5"/>
      <c r="D247" s="5" t="s">
        <v>430</v>
      </c>
      <c r="E247" s="5"/>
      <c r="M247" s="1419" t="s">
        <v>2325</v>
      </c>
      <c r="N247" s="1419"/>
      <c r="O247" s="1419"/>
      <c r="P247" s="1419"/>
      <c r="Q247" s="1419"/>
      <c r="R247" s="1419"/>
      <c r="S247" s="1419"/>
      <c r="T247" s="1419"/>
      <c r="V247" s="42" t="s">
        <v>373</v>
      </c>
      <c r="W247" s="1311" t="s">
        <v>2339</v>
      </c>
      <c r="X247" s="1310"/>
      <c r="Y247" s="5" t="s">
        <v>433</v>
      </c>
      <c r="AC247" s="1419">
        <v>95521</v>
      </c>
      <c r="AD247" s="1419"/>
      <c r="AE247" s="1419"/>
      <c r="AN247" s="41"/>
    </row>
    <row r="248" spans="1:67" ht="12.9" customHeight="1">
      <c r="A248" s="28"/>
      <c r="B248" s="5"/>
      <c r="C248" s="5"/>
      <c r="D248" s="5" t="s">
        <v>374</v>
      </c>
      <c r="E248" s="5"/>
      <c r="F248" s="5"/>
      <c r="G248" s="5"/>
      <c r="H248" s="5"/>
      <c r="I248" s="5"/>
      <c r="J248" s="5"/>
      <c r="K248" s="5"/>
      <c r="L248" s="28"/>
      <c r="M248" s="1419" t="s">
        <v>2346</v>
      </c>
      <c r="N248" s="1419"/>
      <c r="O248" s="1419"/>
      <c r="P248" s="1419"/>
      <c r="Q248" s="1419"/>
      <c r="R248" s="1419"/>
      <c r="S248" s="1419"/>
      <c r="T248" s="1419"/>
      <c r="U248" s="1419"/>
      <c r="V248" s="1419"/>
      <c r="W248" s="1419"/>
      <c r="X248" s="1419"/>
      <c r="Y248" s="1419"/>
      <c r="Z248" s="1419"/>
      <c r="AA248" s="1419"/>
      <c r="AB248" s="1419"/>
      <c r="AC248" s="1419"/>
      <c r="AD248" s="1419"/>
      <c r="AE248" s="1419"/>
      <c r="AJ248" s="5"/>
      <c r="AK248" s="5"/>
      <c r="AL248" s="5"/>
      <c r="AN248" s="41"/>
    </row>
    <row r="249" spans="1:67" ht="12.9" customHeight="1">
      <c r="A249" s="28"/>
      <c r="B249" s="5"/>
      <c r="C249" s="5"/>
      <c r="D249" s="5" t="s">
        <v>375</v>
      </c>
      <c r="E249" s="5"/>
      <c r="F249" s="5"/>
      <c r="M249" s="1090" t="s">
        <v>2341</v>
      </c>
      <c r="N249" s="1090"/>
      <c r="O249" s="1090"/>
      <c r="P249" s="1090"/>
      <c r="Q249" s="1090"/>
      <c r="R249" s="1090"/>
      <c r="S249" s="5" t="s">
        <v>818</v>
      </c>
      <c r="T249" s="5"/>
      <c r="U249" s="1310"/>
      <c r="V249" s="1310"/>
      <c r="W249" s="1310"/>
      <c r="X249" s="5" t="s">
        <v>376</v>
      </c>
      <c r="Z249" s="1090" t="s">
        <v>2342</v>
      </c>
      <c r="AA249" s="1090"/>
      <c r="AB249" s="1090"/>
      <c r="AC249" s="1090"/>
      <c r="AD249" s="1090"/>
      <c r="AE249" s="1090"/>
      <c r="AM249" s="5"/>
      <c r="AN249" s="41"/>
    </row>
    <row r="250" spans="1:67" ht="12.9" customHeight="1">
      <c r="A250" s="28"/>
      <c r="B250" s="5"/>
      <c r="C250" s="5"/>
      <c r="D250" s="5" t="s">
        <v>377</v>
      </c>
      <c r="E250" s="5"/>
      <c r="F250" s="5"/>
      <c r="M250" s="1497" t="s">
        <v>2347</v>
      </c>
      <c r="N250" s="1497"/>
      <c r="O250" s="1497"/>
      <c r="P250" s="1497"/>
      <c r="Q250" s="1497"/>
      <c r="R250" s="1497"/>
      <c r="S250" s="1497"/>
      <c r="T250" s="1497"/>
      <c r="U250" s="1497"/>
      <c r="V250" s="1497"/>
      <c r="W250" s="1497"/>
      <c r="X250" s="1497"/>
      <c r="Y250" s="1497"/>
      <c r="Z250" s="1497"/>
      <c r="AA250" s="1497"/>
      <c r="AB250" s="1497"/>
      <c r="AC250" s="1497"/>
      <c r="AD250" s="1497"/>
      <c r="AE250" s="1497"/>
      <c r="AG250" s="5"/>
      <c r="AH250" s="5"/>
      <c r="AI250" s="5"/>
      <c r="AJ250" s="5"/>
      <c r="AK250" s="5"/>
      <c r="AL250" s="5"/>
    </row>
    <row r="251" spans="1:67" ht="12.9" customHeight="1">
      <c r="A251" s="18"/>
      <c r="B251" s="5"/>
      <c r="C251" s="62"/>
      <c r="D251" s="5" t="s">
        <v>635</v>
      </c>
      <c r="E251" s="5"/>
      <c r="F251" s="5"/>
      <c r="G251" s="5"/>
      <c r="H251" s="5"/>
      <c r="I251" s="5"/>
      <c r="J251" s="5"/>
      <c r="K251" s="5"/>
      <c r="L251" s="5"/>
      <c r="M251" s="1130" t="s">
        <v>636</v>
      </c>
      <c r="N251" s="1130"/>
      <c r="O251" s="1130"/>
      <c r="P251" s="1130"/>
      <c r="Q251" s="1130"/>
      <c r="R251" s="1130"/>
      <c r="S251" s="1130"/>
      <c r="T251" s="1130"/>
      <c r="U251" s="5" t="s">
        <v>1144</v>
      </c>
      <c r="AA251" s="1430"/>
      <c r="AB251" s="1430"/>
      <c r="AC251" s="1430"/>
      <c r="AD251" s="1430"/>
      <c r="AE251" s="1430"/>
      <c r="AF251" s="1430"/>
      <c r="AG251" s="1430"/>
      <c r="AH251" s="1430"/>
      <c r="AI251" s="1430"/>
      <c r="AJ251" s="1430"/>
      <c r="AK251" s="143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426" t="s">
        <v>2348</v>
      </c>
      <c r="N253" s="1426"/>
      <c r="O253" s="1426"/>
      <c r="P253" s="1426"/>
      <c r="Q253" s="1426"/>
      <c r="R253" s="1426"/>
      <c r="S253" s="1426"/>
      <c r="T253" s="1426"/>
      <c r="U253" s="1426"/>
      <c r="V253" s="1426"/>
      <c r="W253" s="1426"/>
      <c r="X253" s="1426"/>
      <c r="Y253" s="1426"/>
      <c r="Z253" s="1426"/>
      <c r="AA253" s="1426"/>
      <c r="AB253" s="1426"/>
      <c r="AC253" s="1426"/>
      <c r="AD253" s="1426"/>
      <c r="AE253" s="1426"/>
      <c r="AF253" s="1496" t="s">
        <v>2344</v>
      </c>
      <c r="AG253" s="1496"/>
      <c r="AH253" s="1496"/>
      <c r="AI253" s="1496"/>
      <c r="AJ253" s="1496"/>
      <c r="AK253" s="1496"/>
      <c r="AM253" s="5"/>
    </row>
    <row r="254" spans="1:67" ht="12.9" customHeight="1">
      <c r="A254" s="28"/>
      <c r="B254" s="5"/>
      <c r="C254" s="5"/>
      <c r="D254" s="5" t="s">
        <v>372</v>
      </c>
      <c r="E254" s="5"/>
      <c r="F254" s="5"/>
      <c r="G254" s="5"/>
      <c r="H254" s="5"/>
      <c r="I254" s="5"/>
      <c r="J254" s="5"/>
      <c r="K254" s="5"/>
      <c r="L254" s="5"/>
      <c r="M254" s="1419" t="s">
        <v>2349</v>
      </c>
      <c r="N254" s="1419"/>
      <c r="O254" s="1419"/>
      <c r="P254" s="1419"/>
      <c r="Q254" s="1419"/>
      <c r="R254" s="1419"/>
      <c r="S254" s="1419"/>
      <c r="T254" s="1419"/>
      <c r="U254" s="1419"/>
      <c r="V254" s="1419"/>
      <c r="W254" s="1419"/>
      <c r="X254" s="1419"/>
      <c r="Y254" s="1419"/>
      <c r="Z254" s="1419"/>
      <c r="AA254" s="1419"/>
      <c r="AB254" s="1419"/>
      <c r="AC254" s="1419"/>
      <c r="AD254" s="1419"/>
      <c r="AE254" s="1419"/>
      <c r="AL254" s="5"/>
    </row>
    <row r="255" spans="1:67" ht="12.9" customHeight="1">
      <c r="A255" s="28"/>
      <c r="B255" s="5"/>
      <c r="C255" s="5"/>
      <c r="D255" s="5" t="s">
        <v>430</v>
      </c>
      <c r="E255" s="5"/>
      <c r="M255" s="1419" t="s">
        <v>2350</v>
      </c>
      <c r="N255" s="1419"/>
      <c r="O255" s="1419"/>
      <c r="P255" s="1419"/>
      <c r="Q255" s="1419"/>
      <c r="R255" s="1419"/>
      <c r="S255" s="1419"/>
      <c r="T255" s="1419"/>
      <c r="V255" s="42" t="s">
        <v>373</v>
      </c>
      <c r="W255" s="1311" t="s">
        <v>2339</v>
      </c>
      <c r="X255" s="1310"/>
      <c r="Y255" s="5" t="s">
        <v>433</v>
      </c>
      <c r="AC255" s="1419">
        <v>95403</v>
      </c>
      <c r="AD255" s="1419"/>
      <c r="AE255" s="1419"/>
    </row>
    <row r="256" spans="1:67" ht="12.9" customHeight="1">
      <c r="A256" s="28"/>
      <c r="B256" s="5"/>
      <c r="C256" s="5"/>
      <c r="D256" s="5" t="s">
        <v>374</v>
      </c>
      <c r="E256" s="5"/>
      <c r="F256" s="5"/>
      <c r="G256" s="5"/>
      <c r="H256" s="5"/>
      <c r="I256" s="5"/>
      <c r="J256" s="5"/>
      <c r="K256" s="5"/>
      <c r="L256" s="28"/>
      <c r="M256" s="1419" t="s">
        <v>2351</v>
      </c>
      <c r="N256" s="1419"/>
      <c r="O256" s="1419"/>
      <c r="P256" s="1419"/>
      <c r="Q256" s="1419"/>
      <c r="R256" s="1419"/>
      <c r="S256" s="1419"/>
      <c r="T256" s="1419"/>
      <c r="U256" s="1419"/>
      <c r="V256" s="1419"/>
      <c r="W256" s="1419"/>
      <c r="X256" s="1419"/>
      <c r="Y256" s="1419"/>
      <c r="Z256" s="1419"/>
      <c r="AA256" s="1419"/>
      <c r="AB256" s="1419"/>
      <c r="AC256" s="1419"/>
      <c r="AD256" s="1419"/>
      <c r="AE256" s="1419"/>
      <c r="AJ256" s="5"/>
      <c r="AK256" s="5"/>
      <c r="AL256" s="5"/>
    </row>
    <row r="257" spans="1:53" ht="12.9" customHeight="1">
      <c r="A257" s="28"/>
      <c r="B257" s="5"/>
      <c r="C257" s="5"/>
      <c r="D257" s="5" t="s">
        <v>375</v>
      </c>
      <c r="E257" s="5"/>
      <c r="F257" s="5"/>
      <c r="M257" s="1090">
        <v>4157104115</v>
      </c>
      <c r="N257" s="1090"/>
      <c r="O257" s="1090"/>
      <c r="P257" s="1090"/>
      <c r="Q257" s="1090"/>
      <c r="R257" s="1090"/>
      <c r="S257" s="5" t="s">
        <v>818</v>
      </c>
      <c r="T257" s="5"/>
      <c r="U257" s="1310"/>
      <c r="V257" s="1310"/>
      <c r="W257" s="1310"/>
      <c r="X257" s="5" t="s">
        <v>376</v>
      </c>
      <c r="Z257" s="1090"/>
      <c r="AA257" s="1090"/>
      <c r="AB257" s="1090"/>
      <c r="AC257" s="1090"/>
      <c r="AD257" s="1090"/>
      <c r="AE257" s="1090"/>
      <c r="BA257" s="43"/>
    </row>
    <row r="258" spans="1:53" ht="12.9" customHeight="1">
      <c r="A258" s="28"/>
      <c r="B258" s="5"/>
      <c r="C258" s="5"/>
      <c r="D258" s="5" t="s">
        <v>377</v>
      </c>
      <c r="E258" s="5"/>
      <c r="F258" s="5"/>
      <c r="M258" s="1497" t="s">
        <v>2352</v>
      </c>
      <c r="N258" s="1497"/>
      <c r="O258" s="1497"/>
      <c r="P258" s="1497"/>
      <c r="Q258" s="1497"/>
      <c r="R258" s="1497"/>
      <c r="S258" s="1497"/>
      <c r="T258" s="1497"/>
      <c r="U258" s="1497"/>
      <c r="V258" s="1497"/>
      <c r="W258" s="1497"/>
      <c r="X258" s="1497"/>
      <c r="Y258" s="1497"/>
      <c r="Z258" s="1497"/>
      <c r="AA258" s="1497"/>
      <c r="AB258" s="1497"/>
      <c r="AC258" s="1497"/>
      <c r="AD258" s="1497"/>
      <c r="AE258" s="1497"/>
      <c r="AG258" s="5"/>
      <c r="AH258" s="5"/>
      <c r="AI258" s="5"/>
      <c r="AJ258" s="5"/>
      <c r="AK258" s="5"/>
      <c r="AL258" s="5"/>
    </row>
    <row r="259" spans="1:53" ht="12.9" customHeight="1">
      <c r="A259" s="18"/>
      <c r="B259" s="5"/>
      <c r="C259" s="62"/>
      <c r="D259" s="5" t="s">
        <v>635</v>
      </c>
      <c r="E259" s="5"/>
      <c r="F259" s="5"/>
      <c r="G259" s="5"/>
      <c r="H259" s="5"/>
      <c r="I259" s="5"/>
      <c r="J259" s="5"/>
      <c r="K259" s="5"/>
      <c r="L259" s="5"/>
      <c r="M259" s="1130" t="s">
        <v>636</v>
      </c>
      <c r="N259" s="1130"/>
      <c r="O259" s="1130"/>
      <c r="P259" s="1130"/>
      <c r="Q259" s="1130"/>
      <c r="R259" s="1130"/>
      <c r="S259" s="1130"/>
      <c r="T259" s="1130"/>
      <c r="U259" s="5" t="s">
        <v>1144</v>
      </c>
      <c r="AA259" s="1430"/>
      <c r="AB259" s="1430"/>
      <c r="AC259" s="1430"/>
      <c r="AD259" s="1430"/>
      <c r="AE259" s="1430"/>
      <c r="AF259" s="1430"/>
      <c r="AG259" s="1430"/>
      <c r="AH259" s="1430"/>
      <c r="AI259" s="1430"/>
      <c r="AJ259" s="1430"/>
      <c r="AK259" s="143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496" t="s">
        <v>2353</v>
      </c>
      <c r="N261" s="1496"/>
      <c r="O261" s="1496"/>
      <c r="P261" s="1496"/>
      <c r="Q261" s="1496"/>
      <c r="R261" s="1496"/>
      <c r="S261" s="1496"/>
      <c r="T261" s="1496"/>
      <c r="U261" s="1496"/>
      <c r="V261" s="1496"/>
      <c r="W261" s="1496"/>
      <c r="X261" s="1496"/>
      <c r="Y261" s="1496"/>
      <c r="Z261" s="1496"/>
      <c r="AA261" s="1496"/>
      <c r="AB261" s="1496"/>
      <c r="AC261" s="1496"/>
      <c r="AD261" s="1496"/>
      <c r="AE261" s="1496"/>
      <c r="AF261" s="1496" t="s">
        <v>2354</v>
      </c>
      <c r="AG261" s="1496"/>
      <c r="AH261" s="1496"/>
      <c r="AI261" s="1496"/>
      <c r="AJ261" s="1496"/>
      <c r="AK261" s="1496"/>
      <c r="AL261" s="41"/>
    </row>
    <row r="262" spans="1:53" ht="12.9" customHeight="1">
      <c r="A262" s="18"/>
      <c r="B262" s="5"/>
      <c r="C262" s="5"/>
      <c r="D262" s="5" t="s">
        <v>372</v>
      </c>
      <c r="E262" s="5"/>
      <c r="F262" s="5"/>
      <c r="G262" s="5"/>
      <c r="H262" s="5"/>
      <c r="I262" s="5"/>
      <c r="J262" s="5"/>
      <c r="K262" s="5"/>
      <c r="L262" s="5"/>
      <c r="M262" s="1419" t="s">
        <v>2355</v>
      </c>
      <c r="N262" s="1419"/>
      <c r="O262" s="1419"/>
      <c r="P262" s="1419"/>
      <c r="Q262" s="1419"/>
      <c r="R262" s="1419"/>
      <c r="S262" s="1419"/>
      <c r="T262" s="1419"/>
      <c r="U262" s="1419"/>
      <c r="V262" s="1419"/>
      <c r="W262" s="1419"/>
      <c r="X262" s="1419"/>
      <c r="Y262" s="1419"/>
      <c r="Z262" s="1419"/>
      <c r="AA262" s="1419"/>
      <c r="AB262" s="1419"/>
      <c r="AC262" s="1419"/>
      <c r="AD262" s="1419"/>
      <c r="AE262" s="1419"/>
      <c r="AL262" s="41"/>
      <c r="BA262" s="43"/>
    </row>
    <row r="263" spans="1:53" ht="12.9" customHeight="1">
      <c r="A263" s="18"/>
      <c r="B263" s="5"/>
      <c r="C263" s="5"/>
      <c r="D263" s="5" t="s">
        <v>430</v>
      </c>
      <c r="E263" s="5"/>
      <c r="M263" s="1419" t="s">
        <v>405</v>
      </c>
      <c r="N263" s="1419"/>
      <c r="O263" s="1419"/>
      <c r="P263" s="1419"/>
      <c r="Q263" s="1419"/>
      <c r="R263" s="1419"/>
      <c r="S263" s="1419"/>
      <c r="T263" s="1419"/>
      <c r="V263" s="42" t="s">
        <v>373</v>
      </c>
      <c r="W263" s="1311" t="s">
        <v>2339</v>
      </c>
      <c r="X263" s="1310"/>
      <c r="Y263" s="5" t="s">
        <v>433</v>
      </c>
      <c r="AC263" s="1419">
        <v>95340</v>
      </c>
      <c r="AD263" s="1419"/>
      <c r="AE263" s="1419"/>
      <c r="AL263" s="41"/>
      <c r="BA263" s="43"/>
    </row>
    <row r="264" spans="1:53" ht="12.9" customHeight="1">
      <c r="A264" s="18"/>
      <c r="B264" s="5"/>
      <c r="C264" s="5"/>
      <c r="D264" s="5" t="s">
        <v>374</v>
      </c>
      <c r="E264" s="5"/>
      <c r="F264" s="5"/>
      <c r="G264" s="5"/>
      <c r="H264" s="5"/>
      <c r="I264" s="5"/>
      <c r="J264" s="5"/>
      <c r="K264" s="5"/>
      <c r="L264" s="28"/>
      <c r="M264" s="1419" t="s">
        <v>2356</v>
      </c>
      <c r="N264" s="1419"/>
      <c r="O264" s="1419"/>
      <c r="P264" s="1419"/>
      <c r="Q264" s="1419"/>
      <c r="R264" s="1419"/>
      <c r="S264" s="1419"/>
      <c r="T264" s="1419"/>
      <c r="U264" s="1419"/>
      <c r="V264" s="1419"/>
      <c r="W264" s="1419"/>
      <c r="X264" s="1419"/>
      <c r="Y264" s="1419"/>
      <c r="Z264" s="1419"/>
      <c r="AA264" s="1419"/>
      <c r="AB264" s="1419"/>
      <c r="AC264" s="1419"/>
      <c r="AD264" s="1419"/>
      <c r="AE264" s="1419"/>
      <c r="AJ264" s="5"/>
      <c r="AK264" s="5"/>
      <c r="AL264" s="41"/>
      <c r="BA264" s="43"/>
    </row>
    <row r="265" spans="1:53" ht="12.9" customHeight="1">
      <c r="A265" s="18"/>
      <c r="B265" s="5"/>
      <c r="C265" s="5"/>
      <c r="D265" s="5" t="s">
        <v>375</v>
      </c>
      <c r="E265" s="5"/>
      <c r="F265" s="5"/>
      <c r="M265" s="1090" t="s">
        <v>2357</v>
      </c>
      <c r="N265" s="1090"/>
      <c r="O265" s="1090"/>
      <c r="P265" s="1090"/>
      <c r="Q265" s="1090"/>
      <c r="R265" s="1090"/>
      <c r="S265" s="5" t="s">
        <v>818</v>
      </c>
      <c r="T265" s="5"/>
      <c r="U265" s="1310"/>
      <c r="V265" s="1310"/>
      <c r="W265" s="1310"/>
      <c r="X265" s="5" t="s">
        <v>376</v>
      </c>
      <c r="Z265" s="1090"/>
      <c r="AA265" s="1090"/>
      <c r="AB265" s="1090"/>
      <c r="AC265" s="1090"/>
      <c r="AD265" s="1090"/>
      <c r="AE265" s="1090"/>
      <c r="AL265" s="41"/>
      <c r="BA265" s="43"/>
    </row>
    <row r="266" spans="1:53" ht="12.9" customHeight="1">
      <c r="A266" s="18"/>
      <c r="B266" s="5"/>
      <c r="C266" s="5"/>
      <c r="D266" s="5" t="s">
        <v>377</v>
      </c>
      <c r="E266" s="5"/>
      <c r="F266" s="5"/>
      <c r="M266" s="1497" t="s">
        <v>2358</v>
      </c>
      <c r="N266" s="1497"/>
      <c r="O266" s="1497"/>
      <c r="P266" s="1497"/>
      <c r="Q266" s="1497"/>
      <c r="R266" s="1497"/>
      <c r="S266" s="1497"/>
      <c r="T266" s="1497"/>
      <c r="U266" s="1497"/>
      <c r="V266" s="1497"/>
      <c r="W266" s="1497"/>
      <c r="X266" s="1497"/>
      <c r="Y266" s="1497"/>
      <c r="Z266" s="1497"/>
      <c r="AA266" s="1497"/>
      <c r="AB266" s="1497"/>
      <c r="AC266" s="1497"/>
      <c r="AD266" s="1497"/>
      <c r="AE266" s="1497"/>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130" t="s">
        <v>634</v>
      </c>
      <c r="N267" s="1130"/>
      <c r="O267" s="1130"/>
      <c r="P267" s="1130"/>
      <c r="Q267" s="1130"/>
      <c r="R267" s="1130"/>
      <c r="S267" s="1130"/>
      <c r="T267" s="1130"/>
      <c r="U267" s="5" t="s">
        <v>1144</v>
      </c>
      <c r="AA267" s="1430"/>
      <c r="AB267" s="1430"/>
      <c r="AC267" s="1430"/>
      <c r="AD267" s="1430"/>
      <c r="AE267" s="1430"/>
      <c r="AF267" s="1430"/>
      <c r="AG267" s="1430"/>
      <c r="AH267" s="1430"/>
      <c r="AI267" s="1430"/>
      <c r="AJ267" s="1430"/>
      <c r="AK267" s="143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607" t="str">
        <f>BO245</f>
        <v>Joint Venture</v>
      </c>
      <c r="U269" s="1607"/>
      <c r="V269" s="1607"/>
      <c r="W269" s="1607"/>
      <c r="X269" s="1607"/>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419" t="s">
        <v>892</v>
      </c>
      <c r="E272" s="1419"/>
      <c r="F272" s="1419"/>
      <c r="G272" s="1419"/>
      <c r="H272" s="1419"/>
      <c r="J272" t="s">
        <v>891</v>
      </c>
      <c r="X272" s="1498">
        <v>44749</v>
      </c>
      <c r="Y272" s="1498"/>
      <c r="Z272" s="1498"/>
      <c r="AA272" s="1498"/>
      <c r="AB272" s="1498"/>
      <c r="AC272" s="1498"/>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96" t="s">
        <v>2359</v>
      </c>
      <c r="M276" s="1496"/>
      <c r="N276" s="1496"/>
      <c r="O276" s="1496"/>
      <c r="P276" s="1496"/>
      <c r="Q276" s="1496"/>
      <c r="R276" s="1496"/>
      <c r="S276" s="1496"/>
      <c r="T276" s="1496"/>
      <c r="U276" s="1496"/>
      <c r="V276" s="1496"/>
      <c r="W276" s="1496"/>
      <c r="X276" s="1496"/>
      <c r="Y276" s="1496"/>
      <c r="Z276" s="1496"/>
      <c r="AA276" s="1496"/>
      <c r="AB276" s="1496"/>
      <c r="AC276" s="1496"/>
      <c r="AD276" s="1496"/>
      <c r="AE276" s="1496"/>
      <c r="AF276" s="1496"/>
      <c r="AG276" s="1496"/>
      <c r="AH276" s="1496"/>
      <c r="AI276" s="1496"/>
      <c r="AJ276" s="1496"/>
      <c r="AK276" s="41"/>
      <c r="AL276" s="41"/>
      <c r="BA276" s="43"/>
    </row>
    <row r="277" spans="1:53" ht="12.9" customHeight="1">
      <c r="D277" s="5" t="s">
        <v>372</v>
      </c>
      <c r="E277" s="5"/>
      <c r="F277" s="5"/>
      <c r="G277" s="5"/>
      <c r="H277" s="5"/>
      <c r="I277" s="5"/>
      <c r="J277" s="5"/>
      <c r="K277" s="5"/>
      <c r="L277" s="1419" t="s">
        <v>2338</v>
      </c>
      <c r="M277" s="1419"/>
      <c r="N277" s="1419"/>
      <c r="O277" s="1419"/>
      <c r="P277" s="1419"/>
      <c r="Q277" s="1419"/>
      <c r="R277" s="1419"/>
      <c r="S277" s="1419"/>
      <c r="T277" s="1419"/>
      <c r="U277" s="1419"/>
      <c r="V277" s="1419"/>
      <c r="W277" s="1419"/>
      <c r="X277" s="1419"/>
      <c r="Y277" s="1419"/>
      <c r="Z277" s="1419"/>
      <c r="AA277" s="1419"/>
      <c r="AB277" s="1419"/>
      <c r="AC277" s="1419"/>
      <c r="AD277" s="1419"/>
      <c r="AK277" s="41"/>
      <c r="AL277" s="41"/>
      <c r="BA277" s="43"/>
    </row>
    <row r="278" spans="1:53" ht="12.9" customHeight="1">
      <c r="D278" s="5" t="s">
        <v>430</v>
      </c>
      <c r="E278" s="5"/>
      <c r="L278" s="1419" t="s">
        <v>2325</v>
      </c>
      <c r="M278" s="1419"/>
      <c r="N278" s="1419"/>
      <c r="O278" s="1419"/>
      <c r="P278" s="1419"/>
      <c r="Q278" s="1419"/>
      <c r="R278" s="1419"/>
      <c r="S278" s="1419"/>
      <c r="U278" s="42" t="s">
        <v>373</v>
      </c>
      <c r="V278" s="1311" t="s">
        <v>2339</v>
      </c>
      <c r="W278" s="1310"/>
      <c r="X278" s="5" t="s">
        <v>433</v>
      </c>
      <c r="AB278" s="1419">
        <v>95521</v>
      </c>
      <c r="AC278" s="1419"/>
      <c r="AD278" s="1419"/>
      <c r="AK278" s="41"/>
      <c r="AL278" s="41"/>
      <c r="BA278" s="43"/>
    </row>
    <row r="279" spans="1:53" ht="12.9" customHeight="1">
      <c r="D279" s="5" t="s">
        <v>374</v>
      </c>
      <c r="E279" s="5"/>
      <c r="F279" s="5"/>
      <c r="G279" s="5"/>
      <c r="H279" s="5"/>
      <c r="I279" s="5"/>
      <c r="J279" s="5"/>
      <c r="K279" s="28"/>
      <c r="L279" s="1419" t="s">
        <v>2340</v>
      </c>
      <c r="M279" s="1419"/>
      <c r="N279" s="1419"/>
      <c r="O279" s="1419"/>
      <c r="P279" s="1419"/>
      <c r="Q279" s="1419"/>
      <c r="R279" s="1419"/>
      <c r="S279" s="1419"/>
      <c r="T279" s="1419"/>
      <c r="U279" s="1419"/>
      <c r="V279" s="1419"/>
      <c r="W279" s="1419"/>
      <c r="X279" s="1419"/>
      <c r="Y279" s="1419"/>
      <c r="Z279" s="1419"/>
      <c r="AA279" s="1419"/>
      <c r="AB279" s="1419"/>
      <c r="AC279" s="1419"/>
      <c r="AD279" s="1419"/>
      <c r="AI279" s="5"/>
      <c r="AJ279" s="5"/>
      <c r="AK279" s="41"/>
      <c r="AL279" s="41"/>
      <c r="BA279" s="43"/>
    </row>
    <row r="280" spans="1:53" ht="12.9" customHeight="1">
      <c r="D280" s="5" t="s">
        <v>375</v>
      </c>
      <c r="E280" s="5"/>
      <c r="F280" s="5"/>
      <c r="L280" s="1090">
        <v>7078251580</v>
      </c>
      <c r="M280" s="1090"/>
      <c r="N280" s="1090"/>
      <c r="O280" s="1090"/>
      <c r="P280" s="1090"/>
      <c r="Q280" s="1090"/>
      <c r="R280" s="5" t="s">
        <v>818</v>
      </c>
      <c r="S280" s="5"/>
      <c r="T280" s="1310"/>
      <c r="U280" s="1310"/>
      <c r="V280" s="1310"/>
      <c r="W280" s="5" t="s">
        <v>376</v>
      </c>
      <c r="Y280" s="1090">
        <v>7078229596</v>
      </c>
      <c r="Z280" s="1090"/>
      <c r="AA280" s="1090"/>
      <c r="AB280" s="1090"/>
      <c r="AC280" s="1090"/>
      <c r="AD280" s="1090"/>
      <c r="BA280" s="43"/>
    </row>
    <row r="281" spans="1:53" ht="12.9" customHeight="1">
      <c r="D281" s="5" t="s">
        <v>377</v>
      </c>
      <c r="E281" s="5"/>
      <c r="F281" s="5"/>
      <c r="L281" s="1497" t="s">
        <v>2343</v>
      </c>
      <c r="M281" s="1497"/>
      <c r="N281" s="1497"/>
      <c r="O281" s="1497"/>
      <c r="P281" s="1497"/>
      <c r="Q281" s="1497"/>
      <c r="R281" s="1497"/>
      <c r="S281" s="1497"/>
      <c r="T281" s="1497"/>
      <c r="U281" s="1497"/>
      <c r="V281" s="1497"/>
      <c r="W281" s="1497"/>
      <c r="X281" s="1497"/>
      <c r="Y281" s="1497"/>
      <c r="Z281" s="1497"/>
      <c r="AA281" s="1497"/>
      <c r="AB281" s="1497"/>
      <c r="AC281" s="1497"/>
      <c r="AD281" s="1497"/>
      <c r="AF281" s="5"/>
      <c r="AG281" s="5"/>
      <c r="AH281" s="5"/>
      <c r="AI281" s="5"/>
      <c r="AJ281" s="5"/>
      <c r="BA281" s="43"/>
    </row>
    <row r="282" spans="1:53" ht="12.9" customHeight="1">
      <c r="D282" s="41" t="s">
        <v>186</v>
      </c>
      <c r="E282" s="41"/>
      <c r="F282" s="41"/>
      <c r="G282" s="41"/>
      <c r="H282" s="41"/>
      <c r="I282" s="41"/>
      <c r="L282" s="1311" t="s">
        <v>2360</v>
      </c>
      <c r="M282" s="1311"/>
      <c r="N282" s="1311"/>
      <c r="O282" s="1311"/>
      <c r="P282" s="1311"/>
      <c r="Q282" s="1311"/>
      <c r="R282" s="1311"/>
      <c r="S282" s="1311"/>
      <c r="T282" s="1311"/>
      <c r="U282" s="1311"/>
      <c r="V282" s="1311"/>
      <c r="W282" s="1311"/>
      <c r="X282" s="1311"/>
      <c r="Y282" s="1311"/>
      <c r="Z282" s="1311"/>
      <c r="AA282" s="1311"/>
      <c r="AB282" s="1311"/>
      <c r="AC282" s="1311"/>
      <c r="AD282" s="1311"/>
      <c r="AK282" s="41"/>
      <c r="AL282" s="41"/>
      <c r="BA282" s="43"/>
    </row>
    <row r="283" spans="1:53" ht="12.9" customHeight="1">
      <c r="L283" s="4" t="s">
        <v>187</v>
      </c>
      <c r="BA283" s="43"/>
    </row>
    <row r="284" spans="1:53" ht="12.9" customHeight="1">
      <c r="A284" s="1160" t="s">
        <v>496</v>
      </c>
      <c r="B284" s="1160"/>
      <c r="C284" s="1160"/>
      <c r="D284" s="1160"/>
      <c r="E284" s="1160"/>
      <c r="F284" s="1160"/>
      <c r="G284" s="1160"/>
      <c r="H284" s="1160"/>
      <c r="I284" s="1160"/>
      <c r="J284" s="1160"/>
      <c r="K284" s="1160"/>
      <c r="L284" s="1160"/>
      <c r="M284" s="1160"/>
      <c r="N284" s="1160"/>
      <c r="O284" s="1160"/>
      <c r="P284" s="1160"/>
      <c r="Q284" s="1160"/>
      <c r="R284" s="1160"/>
      <c r="S284" s="1160"/>
      <c r="T284" s="1160"/>
      <c r="U284" s="1160"/>
      <c r="V284" s="1160"/>
      <c r="W284" s="1160"/>
      <c r="X284" s="1160"/>
      <c r="Y284" s="1160"/>
      <c r="Z284" s="1160"/>
      <c r="AA284" s="1160"/>
      <c r="AB284" s="1160"/>
      <c r="AC284" s="1160"/>
      <c r="AD284" s="1160"/>
      <c r="AE284" s="1160"/>
      <c r="AF284" s="1160"/>
      <c r="AG284" s="1160"/>
      <c r="AH284" s="1160"/>
      <c r="AI284" s="1160"/>
      <c r="AJ284" s="1160"/>
      <c r="AK284" s="1160"/>
      <c r="AL284" s="1160"/>
      <c r="AM284" s="1160"/>
      <c r="AN284" s="1160"/>
      <c r="AO284" s="1160"/>
      <c r="AP284" s="1160"/>
      <c r="AQ284" s="1160"/>
      <c r="AR284" s="1160"/>
      <c r="AS284" s="1160"/>
      <c r="AT284" s="1160"/>
      <c r="BA284" s="43"/>
    </row>
    <row r="285" spans="1:53" ht="12.9" customHeight="1">
      <c r="A285" s="1160"/>
      <c r="B285" s="1160"/>
      <c r="C285" s="1160"/>
      <c r="D285" s="1160"/>
      <c r="E285" s="1160"/>
      <c r="F285" s="1160"/>
      <c r="G285" s="1160"/>
      <c r="H285" s="1160"/>
      <c r="I285" s="1160"/>
      <c r="J285" s="1160"/>
      <c r="K285" s="1160"/>
      <c r="L285" s="1160"/>
      <c r="M285" s="1160"/>
      <c r="N285" s="1160"/>
      <c r="O285" s="1160"/>
      <c r="P285" s="1160"/>
      <c r="Q285" s="1160"/>
      <c r="R285" s="1160"/>
      <c r="S285" s="1160"/>
      <c r="T285" s="1160"/>
      <c r="U285" s="1160"/>
      <c r="V285" s="1160"/>
      <c r="W285" s="1160"/>
      <c r="X285" s="1160"/>
      <c r="Y285" s="1160"/>
      <c r="Z285" s="1160"/>
      <c r="AA285" s="1160"/>
      <c r="AB285" s="1160"/>
      <c r="AC285" s="1160"/>
      <c r="AD285" s="1160"/>
      <c r="AE285" s="1160"/>
      <c r="AF285" s="1160"/>
      <c r="AG285" s="1160"/>
      <c r="AH285" s="1160"/>
      <c r="AI285" s="1160"/>
      <c r="AJ285" s="1160"/>
      <c r="AK285" s="1160"/>
      <c r="AL285" s="1160"/>
      <c r="AM285" s="1160"/>
      <c r="AN285" s="1160"/>
      <c r="AO285" s="1160"/>
      <c r="AP285" s="1160"/>
      <c r="AQ285" s="1160"/>
      <c r="AR285" s="1160"/>
      <c r="AS285" s="1160"/>
      <c r="AT285" s="1160"/>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80" t="s">
        <v>2359</v>
      </c>
      <c r="I289" s="1080"/>
      <c r="J289" s="1080"/>
      <c r="K289" s="1080"/>
      <c r="L289" s="1080"/>
      <c r="M289" s="1080"/>
      <c r="N289" s="1080"/>
      <c r="O289" s="1080"/>
      <c r="P289" s="1080"/>
      <c r="Q289" s="1080"/>
      <c r="R289" s="1080"/>
      <c r="T289" s="41" t="s">
        <v>745</v>
      </c>
      <c r="V289" s="41"/>
      <c r="W289" s="41"/>
      <c r="X289" s="41"/>
      <c r="Y289" s="41"/>
      <c r="AA289" s="1080" t="s">
        <v>2364</v>
      </c>
      <c r="AB289" s="1080"/>
      <c r="AC289" s="1080"/>
      <c r="AD289" s="1080"/>
      <c r="AE289" s="1080"/>
      <c r="AF289" s="1080"/>
      <c r="AG289" s="1080"/>
      <c r="AH289" s="1080"/>
      <c r="AI289" s="1080"/>
      <c r="AJ289" s="1080"/>
      <c r="AK289" s="1080"/>
      <c r="BA289" s="43"/>
    </row>
    <row r="290" spans="2:53" ht="12.9" customHeight="1">
      <c r="B290" s="41" t="s">
        <v>699</v>
      </c>
      <c r="C290" s="41"/>
      <c r="D290" s="41"/>
      <c r="E290" s="41"/>
      <c r="F290" s="41"/>
      <c r="H290" s="1130" t="s">
        <v>2338</v>
      </c>
      <c r="I290" s="1130"/>
      <c r="J290" s="1130"/>
      <c r="K290" s="1130"/>
      <c r="L290" s="1130"/>
      <c r="M290" s="1130"/>
      <c r="N290" s="1130"/>
      <c r="O290" s="1130"/>
      <c r="P290" s="1130"/>
      <c r="Q290" s="1130"/>
      <c r="R290" s="1130"/>
      <c r="T290" s="41" t="s">
        <v>699</v>
      </c>
      <c r="V290" s="41"/>
      <c r="W290" s="41"/>
      <c r="X290" s="41"/>
      <c r="Y290" s="41"/>
      <c r="AA290" s="1130" t="s">
        <v>2365</v>
      </c>
      <c r="AB290" s="1130"/>
      <c r="AC290" s="1130"/>
      <c r="AD290" s="1130"/>
      <c r="AE290" s="1130"/>
      <c r="AF290" s="1130"/>
      <c r="AG290" s="1130"/>
      <c r="AH290" s="1130"/>
      <c r="AI290" s="1130"/>
      <c r="AJ290" s="1130"/>
      <c r="AK290" s="1130"/>
      <c r="BA290" s="43"/>
    </row>
    <row r="291" spans="2:53" ht="12.9" customHeight="1">
      <c r="B291" s="41" t="s">
        <v>701</v>
      </c>
      <c r="C291" s="41"/>
      <c r="D291" s="41"/>
      <c r="E291" s="41"/>
      <c r="F291" s="41"/>
      <c r="H291" s="1130" t="s">
        <v>2361</v>
      </c>
      <c r="I291" s="1130"/>
      <c r="J291" s="1130"/>
      <c r="K291" s="1130"/>
      <c r="L291" s="1130"/>
      <c r="M291" s="1130"/>
      <c r="N291" s="1130"/>
      <c r="O291" s="1130"/>
      <c r="P291" s="1130"/>
      <c r="Q291" s="1130"/>
      <c r="R291" s="1130"/>
      <c r="T291" s="41" t="s">
        <v>700</v>
      </c>
      <c r="V291" s="41"/>
      <c r="W291" s="41"/>
      <c r="X291" s="41"/>
      <c r="Y291" s="41"/>
      <c r="AA291" s="1130" t="s">
        <v>2366</v>
      </c>
      <c r="AB291" s="1130"/>
      <c r="AC291" s="1130"/>
      <c r="AD291" s="1130"/>
      <c r="AE291" s="1130"/>
      <c r="AF291" s="1130"/>
      <c r="AG291" s="1130"/>
      <c r="AH291" s="1130"/>
      <c r="AI291" s="1130"/>
      <c r="AJ291" s="1130"/>
      <c r="AK291" s="1130"/>
      <c r="BA291" s="43"/>
    </row>
    <row r="292" spans="2:53" ht="12.9" customHeight="1">
      <c r="B292" s="41" t="s">
        <v>374</v>
      </c>
      <c r="C292" s="41"/>
      <c r="D292" s="41"/>
      <c r="E292" s="41"/>
      <c r="F292" s="41"/>
      <c r="H292" s="1130" t="s">
        <v>2346</v>
      </c>
      <c r="I292" s="1130"/>
      <c r="J292" s="1130"/>
      <c r="K292" s="1130"/>
      <c r="L292" s="1130"/>
      <c r="M292" s="1130"/>
      <c r="N292" s="1130"/>
      <c r="O292" s="1130"/>
      <c r="P292" s="1130"/>
      <c r="Q292" s="1130"/>
      <c r="R292" s="1130"/>
      <c r="T292" s="41" t="s">
        <v>374</v>
      </c>
      <c r="V292" s="41"/>
      <c r="W292" s="41"/>
      <c r="X292" s="41"/>
      <c r="Y292" s="41"/>
      <c r="AA292" s="1130" t="s">
        <v>2367</v>
      </c>
      <c r="AB292" s="1130"/>
      <c r="AC292" s="1130"/>
      <c r="AD292" s="1130"/>
      <c r="AE292" s="1130"/>
      <c r="AF292" s="1130"/>
      <c r="AG292" s="1130"/>
      <c r="AH292" s="1130"/>
      <c r="AI292" s="1130"/>
      <c r="AJ292" s="1130"/>
      <c r="AK292" s="1130"/>
      <c r="BA292" s="43"/>
    </row>
    <row r="293" spans="2:53" ht="12.9" customHeight="1">
      <c r="B293" s="41" t="s">
        <v>375</v>
      </c>
      <c r="C293" s="41"/>
      <c r="D293" s="41"/>
      <c r="E293" s="41"/>
      <c r="F293" s="41"/>
      <c r="G293" s="41"/>
      <c r="H293" s="1430" t="s">
        <v>2362</v>
      </c>
      <c r="I293" s="1430"/>
      <c r="J293" s="1430"/>
      <c r="K293" s="1430"/>
      <c r="L293" s="1430"/>
      <c r="M293" s="1430"/>
      <c r="N293" s="5" t="s">
        <v>818</v>
      </c>
      <c r="O293" s="5"/>
      <c r="P293" s="1419"/>
      <c r="Q293" s="1419"/>
      <c r="R293" s="1419"/>
      <c r="S293" s="41"/>
      <c r="T293" s="41" t="s">
        <v>375</v>
      </c>
      <c r="V293" s="41"/>
      <c r="W293" s="41"/>
      <c r="X293" s="41"/>
      <c r="Y293" s="41"/>
      <c r="AA293" s="1430" t="s">
        <v>2368</v>
      </c>
      <c r="AB293" s="1430"/>
      <c r="AC293" s="1430"/>
      <c r="AD293" s="1430"/>
      <c r="AE293" s="1430"/>
      <c r="AF293" s="1430"/>
      <c r="AG293" s="5" t="s">
        <v>818</v>
      </c>
      <c r="AH293" s="5"/>
      <c r="AI293" s="1419"/>
      <c r="AJ293" s="1419"/>
      <c r="AK293" s="1419"/>
      <c r="BA293" s="43"/>
    </row>
    <row r="294" spans="2:53" ht="12.9" customHeight="1">
      <c r="B294" s="41" t="s">
        <v>376</v>
      </c>
      <c r="C294" s="41"/>
      <c r="D294" s="41"/>
      <c r="E294" s="41"/>
      <c r="F294" s="41"/>
      <c r="G294" s="41"/>
      <c r="H294" s="1090" t="s">
        <v>2363</v>
      </c>
      <c r="I294" s="1090"/>
      <c r="J294" s="1090"/>
      <c r="K294" s="1090"/>
      <c r="L294" s="1090"/>
      <c r="M294" s="1090"/>
      <c r="N294" s="5"/>
      <c r="O294" s="5"/>
      <c r="P294" s="44"/>
      <c r="Q294" s="44"/>
      <c r="R294" s="44"/>
      <c r="S294" s="41"/>
      <c r="T294" s="41" t="s">
        <v>376</v>
      </c>
      <c r="V294" s="41"/>
      <c r="W294" s="41"/>
      <c r="X294" s="41"/>
      <c r="Y294" s="41"/>
      <c r="AA294" s="1090"/>
      <c r="AB294" s="1090"/>
      <c r="AC294" s="1090"/>
      <c r="AD294" s="1090"/>
      <c r="AE294" s="1090"/>
      <c r="AF294" s="1090"/>
      <c r="AG294" s="5"/>
      <c r="AH294" s="5"/>
      <c r="AI294" s="44"/>
      <c r="AJ294" s="44"/>
      <c r="AK294" s="44"/>
      <c r="BA294" s="43"/>
    </row>
    <row r="295" spans="2:53" ht="12.9" customHeight="1">
      <c r="B295" s="41" t="s">
        <v>702</v>
      </c>
      <c r="C295" s="41"/>
      <c r="D295" s="41"/>
      <c r="E295" s="41"/>
      <c r="F295" s="41"/>
      <c r="G295" s="41"/>
      <c r="H295" s="1130" t="s">
        <v>2347</v>
      </c>
      <c r="I295" s="1130"/>
      <c r="J295" s="1130"/>
      <c r="K295" s="1130"/>
      <c r="L295" s="1130"/>
      <c r="M295" s="1130"/>
      <c r="N295" s="1080"/>
      <c r="O295" s="1080"/>
      <c r="P295" s="1080"/>
      <c r="Q295" s="1080"/>
      <c r="R295" s="1080"/>
      <c r="S295" s="41"/>
      <c r="T295" s="41" t="s">
        <v>702</v>
      </c>
      <c r="V295" s="41"/>
      <c r="W295" s="41"/>
      <c r="X295" s="41"/>
      <c r="Y295" s="41"/>
      <c r="AA295" s="1130" t="s">
        <v>2369</v>
      </c>
      <c r="AB295" s="1130"/>
      <c r="AC295" s="1130"/>
      <c r="AD295" s="1130"/>
      <c r="AE295" s="1130"/>
      <c r="AF295" s="1130"/>
      <c r="AG295" s="1080"/>
      <c r="AH295" s="1080"/>
      <c r="AI295" s="1080"/>
      <c r="AJ295" s="1080"/>
      <c r="AK295" s="108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80" t="s">
        <v>2370</v>
      </c>
      <c r="I297" s="1080"/>
      <c r="J297" s="1080"/>
      <c r="K297" s="1080"/>
      <c r="L297" s="1080"/>
      <c r="M297" s="1080"/>
      <c r="N297" s="1080"/>
      <c r="O297" s="1080"/>
      <c r="P297" s="1080"/>
      <c r="Q297" s="1080"/>
      <c r="R297" s="1080"/>
      <c r="T297" s="41" t="s">
        <v>35</v>
      </c>
      <c r="V297" s="41"/>
      <c r="W297" s="41"/>
      <c r="X297" s="41"/>
      <c r="Y297" s="41"/>
      <c r="AA297" s="1080" t="s">
        <v>2376</v>
      </c>
      <c r="AB297" s="1080"/>
      <c r="AC297" s="1080"/>
      <c r="AD297" s="1080"/>
      <c r="AE297" s="1080"/>
      <c r="AF297" s="1080"/>
      <c r="AG297" s="1080"/>
      <c r="AH297" s="1080"/>
      <c r="AI297" s="1080"/>
      <c r="AJ297" s="1080"/>
      <c r="AK297" s="1080"/>
      <c r="BA297" s="43"/>
    </row>
    <row r="298" spans="2:53" ht="12.9" customHeight="1">
      <c r="B298" s="41" t="s">
        <v>699</v>
      </c>
      <c r="C298" s="41"/>
      <c r="D298" s="41"/>
      <c r="E298" s="41"/>
      <c r="F298" s="41"/>
      <c r="H298" s="1130" t="s">
        <v>2371</v>
      </c>
      <c r="I298" s="1130"/>
      <c r="J298" s="1130"/>
      <c r="K298" s="1130"/>
      <c r="L298" s="1130"/>
      <c r="M298" s="1130"/>
      <c r="N298" s="1130"/>
      <c r="O298" s="1130"/>
      <c r="P298" s="1130"/>
      <c r="Q298" s="1130"/>
      <c r="R298" s="1130"/>
      <c r="T298" s="41" t="s">
        <v>699</v>
      </c>
      <c r="V298" s="41"/>
      <c r="W298" s="41"/>
      <c r="X298" s="41"/>
      <c r="Y298" s="41"/>
      <c r="AA298" s="1130" t="s">
        <v>2338</v>
      </c>
      <c r="AB298" s="1130"/>
      <c r="AC298" s="1130"/>
      <c r="AD298" s="1130"/>
      <c r="AE298" s="1130"/>
      <c r="AF298" s="1130"/>
      <c r="AG298" s="1130"/>
      <c r="AH298" s="1130"/>
      <c r="AI298" s="1130"/>
      <c r="AJ298" s="1130"/>
      <c r="AK298" s="1130"/>
      <c r="BA298" s="43"/>
    </row>
    <row r="299" spans="2:53" ht="12.9" customHeight="1">
      <c r="B299" s="41" t="s">
        <v>701</v>
      </c>
      <c r="C299" s="41"/>
      <c r="D299" s="41"/>
      <c r="E299" s="41"/>
      <c r="F299" s="41"/>
      <c r="H299" s="1130" t="s">
        <v>2372</v>
      </c>
      <c r="I299" s="1130"/>
      <c r="J299" s="1130"/>
      <c r="K299" s="1130"/>
      <c r="L299" s="1130"/>
      <c r="M299" s="1130"/>
      <c r="N299" s="1130"/>
      <c r="O299" s="1130"/>
      <c r="P299" s="1130"/>
      <c r="Q299" s="1130"/>
      <c r="R299" s="1130"/>
      <c r="T299" s="41" t="s">
        <v>700</v>
      </c>
      <c r="V299" s="41"/>
      <c r="W299" s="41"/>
      <c r="X299" s="41"/>
      <c r="Y299" s="41"/>
      <c r="AA299" s="1130" t="s">
        <v>2361</v>
      </c>
      <c r="AB299" s="1130"/>
      <c r="AC299" s="1130"/>
      <c r="AD299" s="1130"/>
      <c r="AE299" s="1130"/>
      <c r="AF299" s="1130"/>
      <c r="AG299" s="1130"/>
      <c r="AH299" s="1130"/>
      <c r="AI299" s="1130"/>
      <c r="AJ299" s="1130"/>
      <c r="AK299" s="1130"/>
      <c r="BA299" s="43"/>
    </row>
    <row r="300" spans="2:53" ht="12.9" customHeight="1">
      <c r="B300" s="41" t="s">
        <v>374</v>
      </c>
      <c r="C300" s="41"/>
      <c r="D300" s="41"/>
      <c r="E300" s="41"/>
      <c r="F300" s="41"/>
      <c r="H300" s="1130" t="s">
        <v>2373</v>
      </c>
      <c r="I300" s="1130"/>
      <c r="J300" s="1130"/>
      <c r="K300" s="1130"/>
      <c r="L300" s="1130"/>
      <c r="M300" s="1130"/>
      <c r="N300" s="1130"/>
      <c r="O300" s="1130"/>
      <c r="P300" s="1130"/>
      <c r="Q300" s="1130"/>
      <c r="R300" s="1130"/>
      <c r="T300" s="41" t="s">
        <v>374</v>
      </c>
      <c r="V300" s="41"/>
      <c r="W300" s="41"/>
      <c r="X300" s="41"/>
      <c r="Y300" s="41"/>
      <c r="AA300" s="1130" t="s">
        <v>2346</v>
      </c>
      <c r="AB300" s="1130"/>
      <c r="AC300" s="1130"/>
      <c r="AD300" s="1130"/>
      <c r="AE300" s="1130"/>
      <c r="AF300" s="1130"/>
      <c r="AG300" s="1130"/>
      <c r="AH300" s="1130"/>
      <c r="AI300" s="1130"/>
      <c r="AJ300" s="1130"/>
      <c r="AK300" s="1130"/>
      <c r="BA300" s="43"/>
    </row>
    <row r="301" spans="2:53" ht="12.9" customHeight="1">
      <c r="B301" s="41" t="s">
        <v>375</v>
      </c>
      <c r="C301" s="41"/>
      <c r="D301" s="41"/>
      <c r="E301" s="41"/>
      <c r="F301" s="41"/>
      <c r="G301" s="41"/>
      <c r="H301" s="1430" t="s">
        <v>2374</v>
      </c>
      <c r="I301" s="1430"/>
      <c r="J301" s="1430"/>
      <c r="K301" s="1430"/>
      <c r="L301" s="1430"/>
      <c r="M301" s="1430"/>
      <c r="N301" s="5" t="s">
        <v>818</v>
      </c>
      <c r="O301" s="5"/>
      <c r="P301" s="1419"/>
      <c r="Q301" s="1419"/>
      <c r="R301" s="1419"/>
      <c r="S301" s="41"/>
      <c r="T301" s="41" t="s">
        <v>375</v>
      </c>
      <c r="V301" s="41"/>
      <c r="W301" s="41"/>
      <c r="X301" s="41"/>
      <c r="Y301" s="41"/>
      <c r="AA301" s="1430" t="s">
        <v>2377</v>
      </c>
      <c r="AB301" s="1430"/>
      <c r="AC301" s="1430"/>
      <c r="AD301" s="1430"/>
      <c r="AE301" s="1430"/>
      <c r="AF301" s="1430"/>
      <c r="AG301" s="5" t="s">
        <v>818</v>
      </c>
      <c r="AH301" s="5"/>
      <c r="AI301" s="1419"/>
      <c r="AJ301" s="1419"/>
      <c r="AK301" s="1419"/>
      <c r="BA301" s="43"/>
    </row>
    <row r="302" spans="2:53" ht="12.9" customHeight="1">
      <c r="B302" s="41" t="s">
        <v>376</v>
      </c>
      <c r="C302" s="41"/>
      <c r="D302" s="41"/>
      <c r="E302" s="41"/>
      <c r="F302" s="41"/>
      <c r="G302" s="41"/>
      <c r="H302" s="1090"/>
      <c r="I302" s="1090"/>
      <c r="J302" s="1090"/>
      <c r="K302" s="1090"/>
      <c r="L302" s="1090"/>
      <c r="M302" s="1090"/>
      <c r="N302" s="5"/>
      <c r="O302" s="5"/>
      <c r="P302" s="44"/>
      <c r="Q302" s="44"/>
      <c r="R302" s="44"/>
      <c r="S302" s="41"/>
      <c r="T302" s="41" t="s">
        <v>376</v>
      </c>
      <c r="V302" s="41"/>
      <c r="W302" s="41"/>
      <c r="X302" s="41"/>
      <c r="Y302" s="41"/>
      <c r="AA302" s="1090" t="s">
        <v>2342</v>
      </c>
      <c r="AB302" s="1090"/>
      <c r="AC302" s="1090"/>
      <c r="AD302" s="1090"/>
      <c r="AE302" s="1090"/>
      <c r="AF302" s="1090"/>
      <c r="AG302" s="5"/>
      <c r="AH302" s="5"/>
      <c r="AI302" s="44"/>
      <c r="AJ302" s="44"/>
      <c r="AK302" s="44"/>
      <c r="BA302" s="43"/>
    </row>
    <row r="303" spans="2:53" ht="12.9" customHeight="1">
      <c r="B303" s="41" t="s">
        <v>702</v>
      </c>
      <c r="C303" s="41"/>
      <c r="D303" s="41"/>
      <c r="E303" s="41"/>
      <c r="F303" s="41"/>
      <c r="G303" s="41"/>
      <c r="H303" s="1130" t="s">
        <v>2375</v>
      </c>
      <c r="I303" s="1130"/>
      <c r="J303" s="1130"/>
      <c r="K303" s="1130"/>
      <c r="L303" s="1130"/>
      <c r="M303" s="1130"/>
      <c r="N303" s="1080"/>
      <c r="O303" s="1080"/>
      <c r="P303" s="1080"/>
      <c r="Q303" s="1080"/>
      <c r="R303" s="1080"/>
      <c r="S303" s="41"/>
      <c r="T303" s="41" t="s">
        <v>702</v>
      </c>
      <c r="V303" s="41"/>
      <c r="W303" s="41"/>
      <c r="X303" s="41"/>
      <c r="Y303" s="41"/>
      <c r="AA303" s="1130" t="s">
        <v>2347</v>
      </c>
      <c r="AB303" s="1130"/>
      <c r="AC303" s="1130"/>
      <c r="AD303" s="1130"/>
      <c r="AE303" s="1130"/>
      <c r="AF303" s="1130"/>
      <c r="AG303" s="1080"/>
      <c r="AH303" s="1080"/>
      <c r="AI303" s="1080"/>
      <c r="AJ303" s="1080"/>
      <c r="AK303" s="1080"/>
      <c r="BA303" s="43"/>
    </row>
    <row r="304" spans="2:53" ht="12.9" customHeight="1">
      <c r="BA304" s="43"/>
    </row>
    <row r="305" spans="2:53" ht="12.9" customHeight="1">
      <c r="B305" s="41" t="s">
        <v>703</v>
      </c>
      <c r="C305" s="41"/>
      <c r="D305" s="41"/>
      <c r="E305" s="41"/>
      <c r="F305" s="41"/>
      <c r="H305" s="1080" t="s">
        <v>2378</v>
      </c>
      <c r="I305" s="1080"/>
      <c r="J305" s="1080"/>
      <c r="K305" s="1080"/>
      <c r="L305" s="1080"/>
      <c r="M305" s="1080"/>
      <c r="N305" s="1080"/>
      <c r="O305" s="1080"/>
      <c r="P305" s="1080"/>
      <c r="Q305" s="1080"/>
      <c r="R305" s="1080"/>
      <c r="T305" s="5" t="s">
        <v>1105</v>
      </c>
      <c r="V305" s="41"/>
      <c r="W305" s="41"/>
      <c r="X305" s="41"/>
      <c r="Y305" s="41"/>
      <c r="AA305" s="1080" t="s">
        <v>2384</v>
      </c>
      <c r="AB305" s="1080"/>
      <c r="AC305" s="1080"/>
      <c r="AD305" s="1080"/>
      <c r="AE305" s="1080"/>
      <c r="AF305" s="1080"/>
      <c r="AG305" s="1080"/>
      <c r="AH305" s="1080"/>
      <c r="AI305" s="1080"/>
      <c r="AJ305" s="1080"/>
      <c r="AK305" s="1080"/>
      <c r="BA305" s="43"/>
    </row>
    <row r="306" spans="2:53" ht="12.9" customHeight="1">
      <c r="B306" s="41" t="s">
        <v>699</v>
      </c>
      <c r="C306" s="41"/>
      <c r="D306" s="41"/>
      <c r="E306" s="41"/>
      <c r="F306" s="41"/>
      <c r="H306" s="1130" t="s">
        <v>2379</v>
      </c>
      <c r="I306" s="1130"/>
      <c r="J306" s="1130"/>
      <c r="K306" s="1130"/>
      <c r="L306" s="1130"/>
      <c r="M306" s="1130"/>
      <c r="N306" s="1130"/>
      <c r="O306" s="1130"/>
      <c r="P306" s="1130"/>
      <c r="Q306" s="1130"/>
      <c r="R306" s="1130"/>
      <c r="T306" s="41" t="s">
        <v>699</v>
      </c>
      <c r="V306" s="41"/>
      <c r="W306" s="41"/>
      <c r="X306" s="41"/>
      <c r="Y306" s="41"/>
      <c r="AA306" s="1130" t="s">
        <v>2385</v>
      </c>
      <c r="AB306" s="1130"/>
      <c r="AC306" s="1130"/>
      <c r="AD306" s="1130"/>
      <c r="AE306" s="1130"/>
      <c r="AF306" s="1130"/>
      <c r="AG306" s="1130"/>
      <c r="AH306" s="1130"/>
      <c r="AI306" s="1130"/>
      <c r="AJ306" s="1130"/>
      <c r="AK306" s="1130"/>
      <c r="BA306" s="43"/>
    </row>
    <row r="307" spans="2:53" ht="12.9" customHeight="1">
      <c r="B307" s="41" t="s">
        <v>701</v>
      </c>
      <c r="C307" s="41"/>
      <c r="D307" s="41"/>
      <c r="E307" s="41"/>
      <c r="F307" s="41"/>
      <c r="H307" s="1130" t="s">
        <v>2380</v>
      </c>
      <c r="I307" s="1130"/>
      <c r="J307" s="1130"/>
      <c r="K307" s="1130"/>
      <c r="L307" s="1130"/>
      <c r="M307" s="1130"/>
      <c r="N307" s="1130"/>
      <c r="O307" s="1130"/>
      <c r="P307" s="1130"/>
      <c r="Q307" s="1130"/>
      <c r="R307" s="1130"/>
      <c r="T307" s="41" t="s">
        <v>700</v>
      </c>
      <c r="V307" s="41"/>
      <c r="W307" s="41"/>
      <c r="X307" s="41"/>
      <c r="Y307" s="41"/>
      <c r="AA307" s="1130" t="s">
        <v>2361</v>
      </c>
      <c r="AB307" s="1130"/>
      <c r="AC307" s="1130"/>
      <c r="AD307" s="1130"/>
      <c r="AE307" s="1130"/>
      <c r="AF307" s="1130"/>
      <c r="AG307" s="1130"/>
      <c r="AH307" s="1130"/>
      <c r="AI307" s="1130"/>
      <c r="AJ307" s="1130"/>
      <c r="AK307" s="1130"/>
      <c r="BA307" s="43"/>
    </row>
    <row r="308" spans="2:53" ht="12.9" customHeight="1">
      <c r="B308" s="41" t="s">
        <v>374</v>
      </c>
      <c r="C308" s="41"/>
      <c r="D308" s="41"/>
      <c r="E308" s="41"/>
      <c r="F308" s="41"/>
      <c r="H308" s="1130" t="s">
        <v>2381</v>
      </c>
      <c r="I308" s="1130"/>
      <c r="J308" s="1130"/>
      <c r="K308" s="1130"/>
      <c r="L308" s="1130"/>
      <c r="M308" s="1130"/>
      <c r="N308" s="1130"/>
      <c r="O308" s="1130"/>
      <c r="P308" s="1130"/>
      <c r="Q308" s="1130"/>
      <c r="R308" s="1130"/>
      <c r="T308" s="41" t="s">
        <v>374</v>
      </c>
      <c r="V308" s="41"/>
      <c r="W308" s="41"/>
      <c r="X308" s="41"/>
      <c r="Y308" s="41"/>
      <c r="AA308" s="1130" t="s">
        <v>2386</v>
      </c>
      <c r="AB308" s="1130"/>
      <c r="AC308" s="1130"/>
      <c r="AD308" s="1130"/>
      <c r="AE308" s="1130"/>
      <c r="AF308" s="1130"/>
      <c r="AG308" s="1130"/>
      <c r="AH308" s="1130"/>
      <c r="AI308" s="1130"/>
      <c r="AJ308" s="1130"/>
      <c r="AK308" s="1130"/>
      <c r="BA308" s="43"/>
    </row>
    <row r="309" spans="2:53" ht="12.9" customHeight="1">
      <c r="B309" s="41" t="s">
        <v>375</v>
      </c>
      <c r="C309" s="41"/>
      <c r="D309" s="41"/>
      <c r="E309" s="41"/>
      <c r="F309" s="41"/>
      <c r="G309" s="41"/>
      <c r="H309" s="1430" t="s">
        <v>2382</v>
      </c>
      <c r="I309" s="1430"/>
      <c r="J309" s="1430"/>
      <c r="K309" s="1430"/>
      <c r="L309" s="1430"/>
      <c r="M309" s="1430"/>
      <c r="N309" s="5" t="s">
        <v>818</v>
      </c>
      <c r="O309" s="5"/>
      <c r="P309" s="1419"/>
      <c r="Q309" s="1419"/>
      <c r="R309" s="1419"/>
      <c r="S309" s="41"/>
      <c r="T309" s="41" t="s">
        <v>375</v>
      </c>
      <c r="V309" s="41"/>
      <c r="W309" s="41"/>
      <c r="X309" s="41"/>
      <c r="Y309" s="41"/>
      <c r="AA309" s="1430" t="s">
        <v>2387</v>
      </c>
      <c r="AB309" s="1430"/>
      <c r="AC309" s="1430"/>
      <c r="AD309" s="1430"/>
      <c r="AE309" s="1430"/>
      <c r="AF309" s="1430"/>
      <c r="AG309" s="5" t="s">
        <v>818</v>
      </c>
      <c r="AH309" s="5"/>
      <c r="AI309" s="1419"/>
      <c r="AJ309" s="1419"/>
      <c r="AK309" s="1419"/>
      <c r="BA309" s="43"/>
    </row>
    <row r="310" spans="2:53" ht="12.9" customHeight="1">
      <c r="B310" s="41" t="s">
        <v>376</v>
      </c>
      <c r="C310" s="41"/>
      <c r="D310" s="41"/>
      <c r="E310" s="41"/>
      <c r="F310" s="41"/>
      <c r="G310" s="41"/>
      <c r="H310" s="1090"/>
      <c r="I310" s="1090"/>
      <c r="J310" s="1090"/>
      <c r="K310" s="1090"/>
      <c r="L310" s="1090"/>
      <c r="M310" s="1090"/>
      <c r="N310" s="5"/>
      <c r="O310" s="5"/>
      <c r="P310" s="44"/>
      <c r="Q310" s="44"/>
      <c r="R310" s="44"/>
      <c r="S310" s="41"/>
      <c r="T310" s="41" t="s">
        <v>376</v>
      </c>
      <c r="V310" s="41"/>
      <c r="W310" s="41"/>
      <c r="X310" s="41"/>
      <c r="Y310" s="41"/>
      <c r="AA310" s="1090"/>
      <c r="AB310" s="1090"/>
      <c r="AC310" s="1090"/>
      <c r="AD310" s="1090"/>
      <c r="AE310" s="1090"/>
      <c r="AF310" s="1090"/>
      <c r="AG310" s="5"/>
      <c r="AH310" s="5"/>
      <c r="AI310" s="44"/>
      <c r="AJ310" s="44"/>
      <c r="AK310" s="44"/>
      <c r="BA310" s="43"/>
    </row>
    <row r="311" spans="2:53" ht="12.9" customHeight="1">
      <c r="B311" s="41" t="s">
        <v>702</v>
      </c>
      <c r="C311" s="41"/>
      <c r="D311" s="41"/>
      <c r="E311" s="41"/>
      <c r="F311" s="41"/>
      <c r="G311" s="41"/>
      <c r="H311" s="1130" t="s">
        <v>2383</v>
      </c>
      <c r="I311" s="1130"/>
      <c r="J311" s="1130"/>
      <c r="K311" s="1130"/>
      <c r="L311" s="1130"/>
      <c r="M311" s="1130"/>
      <c r="N311" s="1080"/>
      <c r="O311" s="1080"/>
      <c r="P311" s="1080"/>
      <c r="Q311" s="1080"/>
      <c r="R311" s="1080"/>
      <c r="S311" s="41"/>
      <c r="T311" s="41" t="s">
        <v>702</v>
      </c>
      <c r="V311" s="41"/>
      <c r="W311" s="41"/>
      <c r="X311" s="41"/>
      <c r="Y311" s="41"/>
      <c r="AA311" s="1130" t="s">
        <v>2388</v>
      </c>
      <c r="AB311" s="1130"/>
      <c r="AC311" s="1130"/>
      <c r="AD311" s="1130"/>
      <c r="AE311" s="1130"/>
      <c r="AF311" s="1130"/>
      <c r="AG311" s="1080"/>
      <c r="AH311" s="1080"/>
      <c r="AI311" s="1080"/>
      <c r="AJ311" s="1080"/>
      <c r="AK311" s="1080"/>
      <c r="BA311" s="43"/>
    </row>
    <row r="312" spans="2:53" ht="12.9" customHeight="1">
      <c r="BA312" s="43"/>
    </row>
    <row r="313" spans="2:53" ht="12.9" customHeight="1">
      <c r="B313" s="5" t="s">
        <v>1146</v>
      </c>
      <c r="C313" s="41"/>
      <c r="D313" s="41"/>
      <c r="E313" s="41"/>
      <c r="F313" s="41"/>
      <c r="H313" s="1080"/>
      <c r="I313" s="1080"/>
      <c r="J313" s="1080"/>
      <c r="K313" s="1080"/>
      <c r="L313" s="1080"/>
      <c r="M313" s="1080"/>
      <c r="N313" s="1080"/>
      <c r="O313" s="1080"/>
      <c r="P313" s="1080"/>
      <c r="Q313" s="1080"/>
      <c r="R313" s="1080"/>
      <c r="T313" s="41" t="s">
        <v>36</v>
      </c>
      <c r="V313" s="41"/>
      <c r="W313" s="41"/>
      <c r="X313" s="41"/>
      <c r="Y313" s="41"/>
      <c r="AA313" s="1080" t="s">
        <v>2389</v>
      </c>
      <c r="AB313" s="1080"/>
      <c r="AC313" s="1080"/>
      <c r="AD313" s="1080"/>
      <c r="AE313" s="1080"/>
      <c r="AF313" s="1080"/>
      <c r="AG313" s="1080"/>
      <c r="AH313" s="1080"/>
      <c r="AI313" s="1080"/>
      <c r="AJ313" s="1080"/>
      <c r="AK313" s="1080"/>
      <c r="BA313" s="43"/>
    </row>
    <row r="314" spans="2:53" ht="12.9" customHeight="1">
      <c r="B314" s="41" t="s">
        <v>699</v>
      </c>
      <c r="C314" s="41"/>
      <c r="D314" s="41"/>
      <c r="E314" s="41"/>
      <c r="F314" s="41"/>
      <c r="H314" s="1130"/>
      <c r="I314" s="1130"/>
      <c r="J314" s="1130"/>
      <c r="K314" s="1130"/>
      <c r="L314" s="1130"/>
      <c r="M314" s="1130"/>
      <c r="N314" s="1130"/>
      <c r="O314" s="1130"/>
      <c r="P314" s="1130"/>
      <c r="Q314" s="1130"/>
      <c r="R314" s="1130"/>
      <c r="T314" s="41" t="s">
        <v>699</v>
      </c>
      <c r="V314" s="41"/>
      <c r="W314" s="41"/>
      <c r="X314" s="41"/>
      <c r="Y314" s="41"/>
      <c r="AA314" s="1130" t="s">
        <v>2390</v>
      </c>
      <c r="AB314" s="1130"/>
      <c r="AC314" s="1130"/>
      <c r="AD314" s="1130"/>
      <c r="AE314" s="1130"/>
      <c r="AF314" s="1130"/>
      <c r="AG314" s="1130"/>
      <c r="AH314" s="1130"/>
      <c r="AI314" s="1130"/>
      <c r="AJ314" s="1130"/>
      <c r="AK314" s="1130"/>
      <c r="BA314" s="43"/>
    </row>
    <row r="315" spans="2:53" ht="12.9" customHeight="1">
      <c r="B315" s="41" t="s">
        <v>701</v>
      </c>
      <c r="C315" s="41"/>
      <c r="D315" s="41"/>
      <c r="E315" s="41"/>
      <c r="F315" s="41"/>
      <c r="H315" s="1130"/>
      <c r="I315" s="1130"/>
      <c r="J315" s="1130"/>
      <c r="K315" s="1130"/>
      <c r="L315" s="1130"/>
      <c r="M315" s="1130"/>
      <c r="N315" s="1130"/>
      <c r="O315" s="1130"/>
      <c r="P315" s="1130"/>
      <c r="Q315" s="1130"/>
      <c r="R315" s="1130"/>
      <c r="T315" s="41" t="s">
        <v>700</v>
      </c>
      <c r="V315" s="41"/>
      <c r="W315" s="41"/>
      <c r="X315" s="41"/>
      <c r="Y315" s="41"/>
      <c r="AA315" s="1130" t="s">
        <v>2391</v>
      </c>
      <c r="AB315" s="1130"/>
      <c r="AC315" s="1130"/>
      <c r="AD315" s="1130"/>
      <c r="AE315" s="1130"/>
      <c r="AF315" s="1130"/>
      <c r="AG315" s="1130"/>
      <c r="AH315" s="1130"/>
      <c r="AI315" s="1130"/>
      <c r="AJ315" s="1130"/>
      <c r="AK315" s="1130"/>
      <c r="BA315" s="43"/>
    </row>
    <row r="316" spans="2:53" ht="12.9" customHeight="1">
      <c r="B316" s="41" t="s">
        <v>374</v>
      </c>
      <c r="C316" s="41"/>
      <c r="D316" s="41"/>
      <c r="E316" s="41"/>
      <c r="F316" s="41"/>
      <c r="H316" s="1130"/>
      <c r="I316" s="1130"/>
      <c r="J316" s="1130"/>
      <c r="K316" s="1130"/>
      <c r="L316" s="1130"/>
      <c r="M316" s="1130"/>
      <c r="N316" s="1130"/>
      <c r="O316" s="1130"/>
      <c r="P316" s="1130"/>
      <c r="Q316" s="1130"/>
      <c r="R316" s="1130"/>
      <c r="T316" s="41" t="s">
        <v>374</v>
      </c>
      <c r="V316" s="41"/>
      <c r="W316" s="41"/>
      <c r="X316" s="41"/>
      <c r="Y316" s="41"/>
      <c r="AA316" s="1130" t="s">
        <v>2392</v>
      </c>
      <c r="AB316" s="1130"/>
      <c r="AC316" s="1130"/>
      <c r="AD316" s="1130"/>
      <c r="AE316" s="1130"/>
      <c r="AF316" s="1130"/>
      <c r="AG316" s="1130"/>
      <c r="AH316" s="1130"/>
      <c r="AI316" s="1130"/>
      <c r="AJ316" s="1130"/>
      <c r="AK316" s="1130"/>
      <c r="BA316" s="43"/>
    </row>
    <row r="317" spans="2:53" ht="12.9" customHeight="1">
      <c r="B317" s="41" t="s">
        <v>375</v>
      </c>
      <c r="C317" s="41"/>
      <c r="D317" s="41"/>
      <c r="E317" s="41"/>
      <c r="F317" s="41"/>
      <c r="G317" s="41"/>
      <c r="H317" s="1430"/>
      <c r="I317" s="1430"/>
      <c r="J317" s="1430"/>
      <c r="K317" s="1430"/>
      <c r="L317" s="1430"/>
      <c r="M317" s="1430"/>
      <c r="N317" s="5" t="s">
        <v>818</v>
      </c>
      <c r="O317" s="5"/>
      <c r="P317" s="1419"/>
      <c r="Q317" s="1419"/>
      <c r="R317" s="1419"/>
      <c r="S317" s="41"/>
      <c r="T317" s="41" t="s">
        <v>375</v>
      </c>
      <c r="V317" s="41"/>
      <c r="W317" s="41"/>
      <c r="X317" s="41"/>
      <c r="Y317" s="41"/>
      <c r="AA317" s="1430" t="s">
        <v>2393</v>
      </c>
      <c r="AB317" s="1430"/>
      <c r="AC317" s="1430"/>
      <c r="AD317" s="1430"/>
      <c r="AE317" s="1430"/>
      <c r="AF317" s="1430"/>
      <c r="AG317" s="5" t="s">
        <v>818</v>
      </c>
      <c r="AH317" s="5"/>
      <c r="AI317" s="1419"/>
      <c r="AJ317" s="1419"/>
      <c r="AK317" s="1419"/>
      <c r="BA317" s="43"/>
    </row>
    <row r="318" spans="2:53" ht="12.9" customHeight="1">
      <c r="B318" s="41" t="s">
        <v>376</v>
      </c>
      <c r="C318" s="41"/>
      <c r="D318" s="41"/>
      <c r="E318" s="41"/>
      <c r="F318" s="41"/>
      <c r="G318" s="41"/>
      <c r="H318" s="1090"/>
      <c r="I318" s="1090"/>
      <c r="J318" s="1090"/>
      <c r="K318" s="1090"/>
      <c r="L318" s="1090"/>
      <c r="M318" s="1090"/>
      <c r="N318" s="5"/>
      <c r="O318" s="5"/>
      <c r="P318" s="44"/>
      <c r="Q318" s="44"/>
      <c r="R318" s="44"/>
      <c r="S318" s="41"/>
      <c r="T318" s="41" t="s">
        <v>376</v>
      </c>
      <c r="V318" s="41"/>
      <c r="W318" s="41"/>
      <c r="X318" s="41"/>
      <c r="Y318" s="41"/>
      <c r="AA318" s="1090"/>
      <c r="AB318" s="1090"/>
      <c r="AC318" s="1090"/>
      <c r="AD318" s="1090"/>
      <c r="AE318" s="1090"/>
      <c r="AF318" s="1090"/>
      <c r="AG318" s="5"/>
      <c r="AH318" s="5"/>
      <c r="AI318" s="44"/>
      <c r="AJ318" s="44"/>
      <c r="AK318" s="44"/>
      <c r="BA318" s="43"/>
    </row>
    <row r="319" spans="2:53" ht="12.9" customHeight="1">
      <c r="B319" s="41" t="s">
        <v>702</v>
      </c>
      <c r="C319" s="41"/>
      <c r="D319" s="41"/>
      <c r="E319" s="41"/>
      <c r="F319" s="41"/>
      <c r="G319" s="41"/>
      <c r="H319" s="1130"/>
      <c r="I319" s="1130"/>
      <c r="J319" s="1130"/>
      <c r="K319" s="1130"/>
      <c r="L319" s="1130"/>
      <c r="M319" s="1130"/>
      <c r="N319" s="1080"/>
      <c r="O319" s="1080"/>
      <c r="P319" s="1080"/>
      <c r="Q319" s="1080"/>
      <c r="R319" s="1080"/>
      <c r="S319" s="41"/>
      <c r="T319" s="41" t="s">
        <v>702</v>
      </c>
      <c r="V319" s="41"/>
      <c r="W319" s="41"/>
      <c r="X319" s="41"/>
      <c r="Y319" s="41"/>
      <c r="AA319" s="1130" t="s">
        <v>2394</v>
      </c>
      <c r="AB319" s="1130"/>
      <c r="AC319" s="1130"/>
      <c r="AD319" s="1130"/>
      <c r="AE319" s="1130"/>
      <c r="AF319" s="1130"/>
      <c r="AG319" s="1080"/>
      <c r="AH319" s="1080"/>
      <c r="AI319" s="1080"/>
      <c r="AJ319" s="1080"/>
      <c r="AK319" s="1080"/>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80"/>
      <c r="I321" s="1080"/>
      <c r="J321" s="1080"/>
      <c r="K321" s="1080"/>
      <c r="L321" s="1080"/>
      <c r="M321" s="1080"/>
      <c r="N321" s="1080"/>
      <c r="O321" s="1080"/>
      <c r="P321" s="1080"/>
      <c r="Q321" s="1080"/>
      <c r="R321" s="1080"/>
      <c r="T321" s="41" t="s">
        <v>37</v>
      </c>
      <c r="V321" s="41"/>
      <c r="W321" s="41"/>
      <c r="X321" s="41"/>
      <c r="Y321" s="41"/>
      <c r="AA321" s="1080" t="s">
        <v>2395</v>
      </c>
      <c r="AB321" s="1080"/>
      <c r="AC321" s="1080"/>
      <c r="AD321" s="1080"/>
      <c r="AE321" s="1080"/>
      <c r="AF321" s="1080"/>
      <c r="AG321" s="1080"/>
      <c r="AH321" s="1080"/>
      <c r="AI321" s="1080"/>
      <c r="AJ321" s="1080"/>
      <c r="AK321" s="1080"/>
      <c r="BA321" s="43"/>
    </row>
    <row r="322" spans="2:53" ht="12.9" customHeight="1">
      <c r="B322" s="41" t="s">
        <v>699</v>
      </c>
      <c r="C322" s="41"/>
      <c r="D322" s="41"/>
      <c r="E322" s="41"/>
      <c r="F322" s="41"/>
      <c r="H322" s="1130"/>
      <c r="I322" s="1130"/>
      <c r="J322" s="1130"/>
      <c r="K322" s="1130"/>
      <c r="L322" s="1130"/>
      <c r="M322" s="1130"/>
      <c r="N322" s="1130"/>
      <c r="O322" s="1130"/>
      <c r="P322" s="1130"/>
      <c r="Q322" s="1130"/>
      <c r="R322" s="1130"/>
      <c r="T322" s="41" t="s">
        <v>699</v>
      </c>
      <c r="V322" s="41"/>
      <c r="W322" s="41"/>
      <c r="X322" s="41"/>
      <c r="Y322" s="41"/>
      <c r="AA322" s="1130" t="s">
        <v>2396</v>
      </c>
      <c r="AB322" s="1130"/>
      <c r="AC322" s="1130"/>
      <c r="AD322" s="1130"/>
      <c r="AE322" s="1130"/>
      <c r="AF322" s="1130"/>
      <c r="AG322" s="1130"/>
      <c r="AH322" s="1130"/>
      <c r="AI322" s="1130"/>
      <c r="AJ322" s="1130"/>
      <c r="AK322" s="1130"/>
      <c r="BA322" s="43"/>
    </row>
    <row r="323" spans="2:53" ht="12.9" customHeight="1">
      <c r="B323" s="41" t="s">
        <v>701</v>
      </c>
      <c r="C323" s="41"/>
      <c r="D323" s="41"/>
      <c r="E323" s="41"/>
      <c r="F323" s="41"/>
      <c r="H323" s="1130"/>
      <c r="I323" s="1130"/>
      <c r="J323" s="1130"/>
      <c r="K323" s="1130"/>
      <c r="L323" s="1130"/>
      <c r="M323" s="1130"/>
      <c r="N323" s="1130"/>
      <c r="O323" s="1130"/>
      <c r="P323" s="1130"/>
      <c r="Q323" s="1130"/>
      <c r="R323" s="1130"/>
      <c r="T323" s="41" t="s">
        <v>700</v>
      </c>
      <c r="V323" s="41"/>
      <c r="W323" s="41"/>
      <c r="X323" s="41"/>
      <c r="Y323" s="41"/>
      <c r="AA323" s="1130" t="s">
        <v>2397</v>
      </c>
      <c r="AB323" s="1130"/>
      <c r="AC323" s="1130"/>
      <c r="AD323" s="1130"/>
      <c r="AE323" s="1130"/>
      <c r="AF323" s="1130"/>
      <c r="AG323" s="1130"/>
      <c r="AH323" s="1130"/>
      <c r="AI323" s="1130"/>
      <c r="AJ323" s="1130"/>
      <c r="AK323" s="1130"/>
      <c r="BA323" s="43"/>
    </row>
    <row r="324" spans="2:53" ht="12.9" customHeight="1">
      <c r="B324" s="41" t="s">
        <v>374</v>
      </c>
      <c r="C324" s="41"/>
      <c r="D324" s="41"/>
      <c r="E324" s="41"/>
      <c r="F324" s="41"/>
      <c r="H324" s="1130"/>
      <c r="I324" s="1130"/>
      <c r="J324" s="1130"/>
      <c r="K324" s="1130"/>
      <c r="L324" s="1130"/>
      <c r="M324" s="1130"/>
      <c r="N324" s="1130"/>
      <c r="O324" s="1130"/>
      <c r="P324" s="1130"/>
      <c r="Q324" s="1130"/>
      <c r="R324" s="1130"/>
      <c r="T324" s="41" t="s">
        <v>374</v>
      </c>
      <c r="V324" s="41"/>
      <c r="W324" s="41"/>
      <c r="X324" s="41"/>
      <c r="Y324" s="41"/>
      <c r="AA324" s="1130" t="s">
        <v>2398</v>
      </c>
      <c r="AB324" s="1130"/>
      <c r="AC324" s="1130"/>
      <c r="AD324" s="1130"/>
      <c r="AE324" s="1130"/>
      <c r="AF324" s="1130"/>
      <c r="AG324" s="1130"/>
      <c r="AH324" s="1130"/>
      <c r="AI324" s="1130"/>
      <c r="AJ324" s="1130"/>
      <c r="AK324" s="1130"/>
      <c r="BA324" s="43"/>
    </row>
    <row r="325" spans="2:53" ht="12.9" customHeight="1">
      <c r="B325" s="41" t="s">
        <v>375</v>
      </c>
      <c r="C325" s="41"/>
      <c r="D325" s="41"/>
      <c r="E325" s="41"/>
      <c r="F325" s="41"/>
      <c r="G325" s="41"/>
      <c r="H325" s="1430"/>
      <c r="I325" s="1430"/>
      <c r="J325" s="1430"/>
      <c r="K325" s="1430"/>
      <c r="L325" s="1430"/>
      <c r="M325" s="1430"/>
      <c r="N325" s="5" t="s">
        <v>818</v>
      </c>
      <c r="O325" s="5"/>
      <c r="P325" s="1419"/>
      <c r="Q325" s="1419"/>
      <c r="R325" s="1419"/>
      <c r="S325" s="41"/>
      <c r="T325" s="41" t="s">
        <v>375</v>
      </c>
      <c r="V325" s="41"/>
      <c r="W325" s="41"/>
      <c r="X325" s="41"/>
      <c r="Y325" s="41"/>
      <c r="AA325" s="1430" t="s">
        <v>2399</v>
      </c>
      <c r="AB325" s="1430"/>
      <c r="AC325" s="1430"/>
      <c r="AD325" s="1430"/>
      <c r="AE325" s="1430"/>
      <c r="AF325" s="1430"/>
      <c r="AG325" s="5" t="s">
        <v>818</v>
      </c>
      <c r="AH325" s="5"/>
      <c r="AI325" s="1419"/>
      <c r="AJ325" s="1419"/>
      <c r="AK325" s="1419"/>
      <c r="BA325" s="43"/>
    </row>
    <row r="326" spans="2:53" ht="12.9" customHeight="1">
      <c r="B326" s="41" t="s">
        <v>376</v>
      </c>
      <c r="C326" s="41"/>
      <c r="D326" s="41"/>
      <c r="E326" s="41"/>
      <c r="F326" s="41"/>
      <c r="G326" s="41"/>
      <c r="H326" s="1090"/>
      <c r="I326" s="1090"/>
      <c r="J326" s="1090"/>
      <c r="K326" s="1090"/>
      <c r="L326" s="1090"/>
      <c r="M326" s="1090"/>
      <c r="N326" s="5"/>
      <c r="O326" s="5"/>
      <c r="P326" s="44"/>
      <c r="Q326" s="44"/>
      <c r="R326" s="44"/>
      <c r="S326" s="41"/>
      <c r="T326" s="41" t="s">
        <v>376</v>
      </c>
      <c r="V326" s="41"/>
      <c r="W326" s="41"/>
      <c r="X326" s="41"/>
      <c r="Y326" s="41"/>
      <c r="AA326" s="1090" t="s">
        <v>2400</v>
      </c>
      <c r="AB326" s="1090"/>
      <c r="AC326" s="1090"/>
      <c r="AD326" s="1090"/>
      <c r="AE326" s="1090"/>
      <c r="AF326" s="1090"/>
      <c r="AG326" s="5"/>
      <c r="AH326" s="5"/>
      <c r="AI326" s="44"/>
      <c r="AJ326" s="44"/>
      <c r="AK326" s="44"/>
      <c r="BA326" s="43"/>
    </row>
    <row r="327" spans="2:53" ht="12.9" customHeight="1">
      <c r="B327" s="41" t="s">
        <v>702</v>
      </c>
      <c r="C327" s="41"/>
      <c r="D327" s="41"/>
      <c r="E327" s="41"/>
      <c r="F327" s="41"/>
      <c r="G327" s="41"/>
      <c r="H327" s="1130"/>
      <c r="I327" s="1130"/>
      <c r="J327" s="1130"/>
      <c r="K327" s="1130"/>
      <c r="L327" s="1130"/>
      <c r="M327" s="1130"/>
      <c r="N327" s="1080"/>
      <c r="O327" s="1080"/>
      <c r="P327" s="1080"/>
      <c r="Q327" s="1080"/>
      <c r="R327" s="1080"/>
      <c r="S327" s="41"/>
      <c r="T327" s="41" t="s">
        <v>702</v>
      </c>
      <c r="V327" s="41"/>
      <c r="W327" s="41"/>
      <c r="X327" s="41"/>
      <c r="Y327" s="41"/>
      <c r="AA327" s="1130" t="s">
        <v>2401</v>
      </c>
      <c r="AB327" s="1130"/>
      <c r="AC327" s="1130"/>
      <c r="AD327" s="1130"/>
      <c r="AE327" s="1130"/>
      <c r="AF327" s="1130"/>
      <c r="AG327" s="1080"/>
      <c r="AH327" s="1080"/>
      <c r="AI327" s="1080"/>
      <c r="AJ327" s="1080"/>
      <c r="AK327" s="1080"/>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80"/>
      <c r="I329" s="1080"/>
      <c r="J329" s="1080"/>
      <c r="K329" s="1080"/>
      <c r="L329" s="1080"/>
      <c r="M329" s="1080"/>
      <c r="N329" s="1080"/>
      <c r="O329" s="1080"/>
      <c r="P329" s="1080"/>
      <c r="Q329" s="1080"/>
      <c r="R329" s="1080"/>
      <c r="T329" s="5" t="s">
        <v>1106</v>
      </c>
      <c r="V329" s="41"/>
      <c r="W329" s="41"/>
      <c r="X329" s="41"/>
      <c r="Y329" s="41"/>
      <c r="AA329" s="1080" t="s">
        <v>2402</v>
      </c>
      <c r="AB329" s="1080"/>
      <c r="AC329" s="1080"/>
      <c r="AD329" s="1080"/>
      <c r="AE329" s="1080"/>
      <c r="AF329" s="1080"/>
      <c r="AG329" s="1080"/>
      <c r="AH329" s="1080"/>
      <c r="AI329" s="1080"/>
      <c r="AJ329" s="1080"/>
      <c r="AK329" s="1080"/>
      <c r="BA329" s="43"/>
    </row>
    <row r="330" spans="2:53" ht="12.9" customHeight="1">
      <c r="B330" s="41" t="s">
        <v>699</v>
      </c>
      <c r="C330" s="41"/>
      <c r="D330" s="41"/>
      <c r="E330" s="41"/>
      <c r="F330" s="41"/>
      <c r="H330" s="1130"/>
      <c r="I330" s="1130"/>
      <c r="J330" s="1130"/>
      <c r="K330" s="1130"/>
      <c r="L330" s="1130"/>
      <c r="M330" s="1130"/>
      <c r="N330" s="1130"/>
      <c r="O330" s="1130"/>
      <c r="P330" s="1130"/>
      <c r="Q330" s="1130"/>
      <c r="R330" s="1130"/>
      <c r="T330" s="41" t="s">
        <v>699</v>
      </c>
      <c r="V330" s="41"/>
      <c r="W330" s="41"/>
      <c r="X330" s="41"/>
      <c r="Y330" s="41"/>
      <c r="AA330" s="1130" t="s">
        <v>2338</v>
      </c>
      <c r="AB330" s="1130"/>
      <c r="AC330" s="1130"/>
      <c r="AD330" s="1130"/>
      <c r="AE330" s="1130"/>
      <c r="AF330" s="1130"/>
      <c r="AG330" s="1130"/>
      <c r="AH330" s="1130"/>
      <c r="AI330" s="1130"/>
      <c r="AJ330" s="1130"/>
      <c r="AK330" s="1130"/>
      <c r="BA330" s="43"/>
    </row>
    <row r="331" spans="2:53" ht="12.9" customHeight="1">
      <c r="B331" s="41" t="s">
        <v>701</v>
      </c>
      <c r="C331" s="41"/>
      <c r="D331" s="41"/>
      <c r="E331" s="41"/>
      <c r="F331" s="41"/>
      <c r="G331" s="41"/>
      <c r="H331" s="1130"/>
      <c r="I331" s="1130"/>
      <c r="J331" s="1130"/>
      <c r="K331" s="1130"/>
      <c r="L331" s="1130"/>
      <c r="M331" s="1130"/>
      <c r="N331" s="1130"/>
      <c r="O331" s="1130"/>
      <c r="P331" s="1130"/>
      <c r="Q331" s="1130"/>
      <c r="R331" s="1130"/>
      <c r="T331" s="41" t="s">
        <v>700</v>
      </c>
      <c r="V331" s="41"/>
      <c r="W331" s="41"/>
      <c r="X331" s="41"/>
      <c r="Y331" s="41"/>
      <c r="AA331" s="1130" t="s">
        <v>2361</v>
      </c>
      <c r="AB331" s="1130"/>
      <c r="AC331" s="1130"/>
      <c r="AD331" s="1130"/>
      <c r="AE331" s="1130"/>
      <c r="AF331" s="1130"/>
      <c r="AG331" s="1130"/>
      <c r="AH331" s="1130"/>
      <c r="AI331" s="1130"/>
      <c r="AJ331" s="1130"/>
      <c r="AK331" s="1130"/>
      <c r="BA331" s="43"/>
    </row>
    <row r="332" spans="2:53" ht="12.9" customHeight="1">
      <c r="B332" s="41" t="s">
        <v>374</v>
      </c>
      <c r="C332" s="41"/>
      <c r="D332" s="41"/>
      <c r="E332" s="41"/>
      <c r="F332" s="41"/>
      <c r="H332" s="1130"/>
      <c r="I332" s="1130"/>
      <c r="J332" s="1130"/>
      <c r="K332" s="1130"/>
      <c r="L332" s="1130"/>
      <c r="M332" s="1130"/>
      <c r="N332" s="1130"/>
      <c r="O332" s="1130"/>
      <c r="P332" s="1130"/>
      <c r="Q332" s="1130"/>
      <c r="R332" s="1130"/>
      <c r="T332" s="41" t="s">
        <v>374</v>
      </c>
      <c r="V332" s="41"/>
      <c r="W332" s="41"/>
      <c r="X332" s="41"/>
      <c r="Y332" s="41"/>
      <c r="AA332" s="1130" t="s">
        <v>2403</v>
      </c>
      <c r="AB332" s="1130"/>
      <c r="AC332" s="1130"/>
      <c r="AD332" s="1130"/>
      <c r="AE332" s="1130"/>
      <c r="AF332" s="1130"/>
      <c r="AG332" s="1130"/>
      <c r="AH332" s="1130"/>
      <c r="AI332" s="1130"/>
      <c r="AJ332" s="1130"/>
      <c r="AK332" s="1130"/>
      <c r="BA332" s="43"/>
    </row>
    <row r="333" spans="2:53" ht="12.9" customHeight="1">
      <c r="B333" s="41" t="s">
        <v>375</v>
      </c>
      <c r="C333" s="41"/>
      <c r="D333" s="41"/>
      <c r="E333" s="41"/>
      <c r="F333" s="41"/>
      <c r="G333" s="41"/>
      <c r="H333" s="1430"/>
      <c r="I333" s="1430"/>
      <c r="J333" s="1430"/>
      <c r="K333" s="1430"/>
      <c r="L333" s="1430"/>
      <c r="M333" s="1430"/>
      <c r="N333" s="5" t="s">
        <v>818</v>
      </c>
      <c r="O333" s="5"/>
      <c r="P333" s="1419"/>
      <c r="Q333" s="1419"/>
      <c r="R333" s="1419"/>
      <c r="T333" s="41" t="s">
        <v>375</v>
      </c>
      <c r="V333" s="41"/>
      <c r="W333" s="41"/>
      <c r="X333" s="41"/>
      <c r="Y333" s="41"/>
      <c r="AA333" s="1430" t="s">
        <v>2404</v>
      </c>
      <c r="AB333" s="1430"/>
      <c r="AC333" s="1430"/>
      <c r="AD333" s="1430"/>
      <c r="AE333" s="1430"/>
      <c r="AF333" s="1430"/>
      <c r="AG333" s="5" t="s">
        <v>818</v>
      </c>
      <c r="AH333" s="5"/>
      <c r="AI333" s="1419"/>
      <c r="AJ333" s="1419"/>
      <c r="AK333" s="1419"/>
      <c r="BA333" s="43"/>
    </row>
    <row r="334" spans="2:53" ht="12.9" customHeight="1">
      <c r="B334" s="41" t="s">
        <v>376</v>
      </c>
      <c r="C334" s="41"/>
      <c r="D334" s="41"/>
      <c r="E334" s="41"/>
      <c r="F334" s="41"/>
      <c r="G334" s="41"/>
      <c r="H334" s="1090"/>
      <c r="I334" s="1090"/>
      <c r="J334" s="1090"/>
      <c r="K334" s="1090"/>
      <c r="L334" s="1090"/>
      <c r="M334" s="1090"/>
      <c r="N334" s="5"/>
      <c r="O334" s="5"/>
      <c r="P334" s="44"/>
      <c r="Q334" s="44"/>
      <c r="R334" s="44"/>
      <c r="T334" s="41" t="s">
        <v>376</v>
      </c>
      <c r="V334" s="41"/>
      <c r="W334" s="41"/>
      <c r="X334" s="41"/>
      <c r="Y334" s="41"/>
      <c r="AA334" s="1090" t="s">
        <v>2363</v>
      </c>
      <c r="AB334" s="1090"/>
      <c r="AC334" s="1090"/>
      <c r="AD334" s="1090"/>
      <c r="AE334" s="1090"/>
      <c r="AF334" s="1090"/>
      <c r="AG334" s="5"/>
      <c r="AH334" s="5"/>
      <c r="AI334" s="44"/>
      <c r="AJ334" s="44"/>
      <c r="AK334" s="44"/>
      <c r="BA334" s="43"/>
    </row>
    <row r="335" spans="2:53" ht="12.9" customHeight="1">
      <c r="B335" s="41" t="s">
        <v>702</v>
      </c>
      <c r="C335" s="41"/>
      <c r="D335" s="41"/>
      <c r="E335" s="41"/>
      <c r="F335" s="41"/>
      <c r="G335" s="41"/>
      <c r="H335" s="1130"/>
      <c r="I335" s="1130"/>
      <c r="J335" s="1130"/>
      <c r="K335" s="1130"/>
      <c r="L335" s="1130"/>
      <c r="M335" s="1130"/>
      <c r="N335" s="1080"/>
      <c r="O335" s="1080"/>
      <c r="P335" s="1080"/>
      <c r="Q335" s="1080"/>
      <c r="R335" s="1080"/>
      <c r="T335" s="41" t="s">
        <v>702</v>
      </c>
      <c r="V335" s="41"/>
      <c r="W335" s="41"/>
      <c r="X335" s="41"/>
      <c r="Y335" s="41"/>
      <c r="AA335" s="1130" t="s">
        <v>2405</v>
      </c>
      <c r="AB335" s="1130"/>
      <c r="AC335" s="1130"/>
      <c r="AD335" s="1130"/>
      <c r="AE335" s="1130"/>
      <c r="AF335" s="1130"/>
      <c r="AG335" s="1080"/>
      <c r="AH335" s="1080"/>
      <c r="AI335" s="1080"/>
      <c r="AJ335" s="1080"/>
      <c r="AK335" s="108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80"/>
      <c r="I337" s="1080"/>
      <c r="J337" s="1080"/>
      <c r="K337" s="1080"/>
      <c r="L337" s="1080"/>
      <c r="M337" s="1080"/>
      <c r="N337" s="1080"/>
      <c r="O337" s="1080"/>
      <c r="P337" s="1080"/>
      <c r="Q337" s="1080"/>
      <c r="R337" s="1080"/>
      <c r="T337" s="361" t="s">
        <v>1145</v>
      </c>
      <c r="AA337" s="1080"/>
      <c r="AB337" s="1080"/>
      <c r="AC337" s="1080"/>
      <c r="AD337" s="1080"/>
      <c r="AE337" s="1080"/>
      <c r="AF337" s="1080"/>
      <c r="AG337" s="1080"/>
      <c r="AH337" s="1080"/>
      <c r="AI337" s="1080"/>
      <c r="AJ337" s="1080"/>
      <c r="AK337" s="1080"/>
      <c r="BA337" s="43"/>
    </row>
    <row r="338" spans="1:53" ht="12.9" customHeight="1">
      <c r="B338" s="361" t="s">
        <v>699</v>
      </c>
      <c r="C338" s="361"/>
      <c r="D338" s="361"/>
      <c r="E338" s="361"/>
      <c r="F338" s="361"/>
      <c r="G338" s="361"/>
      <c r="H338" s="1130"/>
      <c r="I338" s="1130"/>
      <c r="J338" s="1130"/>
      <c r="K338" s="1130"/>
      <c r="L338" s="1130"/>
      <c r="M338" s="1130"/>
      <c r="N338" s="1130"/>
      <c r="O338" s="1130"/>
      <c r="P338" s="1130"/>
      <c r="Q338" s="1130"/>
      <c r="R338" s="1130"/>
      <c r="T338" s="41" t="s">
        <v>699</v>
      </c>
      <c r="AA338" s="1130"/>
      <c r="AB338" s="1130"/>
      <c r="AC338" s="1130"/>
      <c r="AD338" s="1130"/>
      <c r="AE338" s="1130"/>
      <c r="AF338" s="1130"/>
      <c r="AG338" s="1130"/>
      <c r="AH338" s="1130"/>
      <c r="AI338" s="1130"/>
      <c r="AJ338" s="1130"/>
      <c r="AK338" s="1130"/>
      <c r="BA338" s="43"/>
    </row>
    <row r="339" spans="1:53" ht="12.9" customHeight="1">
      <c r="B339" s="361" t="s">
        <v>701</v>
      </c>
      <c r="C339" s="361"/>
      <c r="D339" s="361"/>
      <c r="E339" s="361"/>
      <c r="F339" s="361"/>
      <c r="G339" s="361"/>
      <c r="H339" s="1130"/>
      <c r="I339" s="1130"/>
      <c r="J339" s="1130"/>
      <c r="K339" s="1130"/>
      <c r="L339" s="1130"/>
      <c r="M339" s="1130"/>
      <c r="N339" s="1130"/>
      <c r="O339" s="1130"/>
      <c r="P339" s="1130"/>
      <c r="Q339" s="1130"/>
      <c r="R339" s="1130"/>
      <c r="T339" s="41" t="s">
        <v>700</v>
      </c>
      <c r="AA339" s="1130"/>
      <c r="AB339" s="1130"/>
      <c r="AC339" s="1130"/>
      <c r="AD339" s="1130"/>
      <c r="AE339" s="1130"/>
      <c r="AF339" s="1130"/>
      <c r="AG339" s="1130"/>
      <c r="AH339" s="1130"/>
      <c r="AI339" s="1130"/>
      <c r="AJ339" s="1130"/>
      <c r="AK339" s="1130"/>
    </row>
    <row r="340" spans="1:53" ht="12.9" customHeight="1">
      <c r="B340" s="361" t="s">
        <v>374</v>
      </c>
      <c r="C340" s="361"/>
      <c r="D340" s="361"/>
      <c r="E340" s="361"/>
      <c r="F340" s="361"/>
      <c r="G340" s="361"/>
      <c r="H340" s="1130"/>
      <c r="I340" s="1130"/>
      <c r="J340" s="1130"/>
      <c r="K340" s="1130"/>
      <c r="L340" s="1130"/>
      <c r="M340" s="1130"/>
      <c r="N340" s="1130"/>
      <c r="O340" s="1130"/>
      <c r="P340" s="1130"/>
      <c r="Q340" s="1130"/>
      <c r="R340" s="1130"/>
      <c r="T340" s="41" t="s">
        <v>374</v>
      </c>
      <c r="AA340" s="1130"/>
      <c r="AB340" s="1130"/>
      <c r="AC340" s="1130"/>
      <c r="AD340" s="1130"/>
      <c r="AE340" s="1130"/>
      <c r="AF340" s="1130"/>
      <c r="AG340" s="1130"/>
      <c r="AH340" s="1130"/>
      <c r="AI340" s="1130"/>
      <c r="AJ340" s="1130"/>
      <c r="AK340" s="1130"/>
    </row>
    <row r="341" spans="1:53" ht="12.9" customHeight="1">
      <c r="B341" s="361" t="s">
        <v>375</v>
      </c>
      <c r="C341" s="361"/>
      <c r="D341" s="361"/>
      <c r="E341" s="361"/>
      <c r="F341" s="361"/>
      <c r="G341" s="361"/>
      <c r="H341" s="1430"/>
      <c r="I341" s="1430"/>
      <c r="J341" s="1430"/>
      <c r="K341" s="1430"/>
      <c r="L341" s="1430"/>
      <c r="M341" s="1430"/>
      <c r="N341" s="5" t="s">
        <v>818</v>
      </c>
      <c r="O341" s="5"/>
      <c r="P341" s="1419"/>
      <c r="Q341" s="1419"/>
      <c r="R341" s="1419"/>
      <c r="T341" s="41" t="s">
        <v>375</v>
      </c>
      <c r="AA341" s="1430"/>
      <c r="AB341" s="1430"/>
      <c r="AC341" s="1430"/>
      <c r="AD341" s="1430"/>
      <c r="AE341" s="1430"/>
      <c r="AF341" s="1430"/>
      <c r="AG341" s="5" t="s">
        <v>818</v>
      </c>
      <c r="AH341" s="5"/>
      <c r="AI341" s="1419"/>
      <c r="AJ341" s="1419"/>
      <c r="AK341" s="1419"/>
    </row>
    <row r="342" spans="1:53" ht="12.9" customHeight="1">
      <c r="B342" s="361" t="s">
        <v>376</v>
      </c>
      <c r="C342" s="361"/>
      <c r="D342" s="361"/>
      <c r="E342" s="361"/>
      <c r="F342" s="361"/>
      <c r="G342" s="361"/>
      <c r="H342" s="1090"/>
      <c r="I342" s="1090"/>
      <c r="J342" s="1090"/>
      <c r="K342" s="1090"/>
      <c r="L342" s="1090"/>
      <c r="M342" s="1090"/>
      <c r="N342" s="5"/>
      <c r="O342" s="5"/>
      <c r="P342" s="44"/>
      <c r="Q342" s="44"/>
      <c r="R342" s="44"/>
      <c r="T342" s="41" t="s">
        <v>376</v>
      </c>
      <c r="AA342" s="1090"/>
      <c r="AB342" s="1090"/>
      <c r="AC342" s="1090"/>
      <c r="AD342" s="1090"/>
      <c r="AE342" s="1090"/>
      <c r="AF342" s="1090"/>
      <c r="AG342" s="5"/>
      <c r="AH342" s="5"/>
      <c r="AI342" s="44"/>
      <c r="AJ342" s="44"/>
      <c r="AK342" s="44"/>
    </row>
    <row r="343" spans="1:53" ht="12.9" customHeight="1">
      <c r="B343" s="361" t="s">
        <v>702</v>
      </c>
      <c r="C343" s="361"/>
      <c r="D343" s="361"/>
      <c r="E343" s="361"/>
      <c r="F343" s="361"/>
      <c r="G343" s="361"/>
      <c r="H343" s="1130"/>
      <c r="I343" s="1130"/>
      <c r="J343" s="1130"/>
      <c r="K343" s="1130"/>
      <c r="L343" s="1130"/>
      <c r="M343" s="1130"/>
      <c r="N343" s="1080"/>
      <c r="O343" s="1080"/>
      <c r="P343" s="1080"/>
      <c r="Q343" s="1080"/>
      <c r="R343" s="1080"/>
      <c r="T343" s="41" t="s">
        <v>702</v>
      </c>
      <c r="AA343" s="1130"/>
      <c r="AB343" s="1130"/>
      <c r="AC343" s="1130"/>
      <c r="AD343" s="1130"/>
      <c r="AE343" s="1130"/>
      <c r="AF343" s="1130"/>
      <c r="AG343" s="1080"/>
      <c r="AH343" s="1080"/>
      <c r="AI343" s="1080"/>
      <c r="AJ343" s="1080"/>
      <c r="AK343" s="1080"/>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160" t="s">
        <v>497</v>
      </c>
      <c r="B345" s="1160"/>
      <c r="C345" s="1160"/>
      <c r="D345" s="1160"/>
      <c r="E345" s="1160"/>
      <c r="F345" s="1160"/>
      <c r="G345" s="1160"/>
      <c r="H345" s="1160"/>
      <c r="I345" s="1160"/>
      <c r="J345" s="1160"/>
      <c r="K345" s="1160"/>
      <c r="L345" s="1160"/>
      <c r="M345" s="1160"/>
      <c r="N345" s="1160"/>
      <c r="O345" s="1160"/>
      <c r="P345" s="1160"/>
      <c r="Q345" s="1160"/>
      <c r="R345" s="1160"/>
      <c r="S345" s="1160"/>
      <c r="T345" s="1160"/>
      <c r="U345" s="1160"/>
      <c r="V345" s="1160"/>
      <c r="W345" s="1160"/>
      <c r="X345" s="1160"/>
      <c r="Y345" s="1160"/>
      <c r="Z345" s="1160"/>
      <c r="AA345" s="1160"/>
      <c r="AB345" s="1160"/>
      <c r="AC345" s="1160"/>
      <c r="AD345" s="1160"/>
      <c r="AE345" s="1160"/>
      <c r="AF345" s="1160"/>
      <c r="AG345" s="1160"/>
      <c r="AH345" s="1160"/>
      <c r="AI345" s="1160"/>
      <c r="AJ345" s="1160"/>
      <c r="AK345" s="1160"/>
      <c r="AL345" s="1160"/>
      <c r="AM345" s="1160"/>
      <c r="AN345" s="1160"/>
      <c r="AO345" s="1160"/>
      <c r="AP345" s="1160"/>
      <c r="AQ345" s="1160"/>
      <c r="AR345" s="1160"/>
      <c r="AS345" s="1160"/>
      <c r="AT345" s="1160"/>
    </row>
    <row r="346" spans="1:53" ht="12.9" customHeight="1">
      <c r="A346" s="1160"/>
      <c r="B346" s="1160"/>
      <c r="C346" s="1160"/>
      <c r="D346" s="1160"/>
      <c r="E346" s="1160"/>
      <c r="F346" s="1160"/>
      <c r="G346" s="1160"/>
      <c r="H346" s="1160"/>
      <c r="I346" s="1160"/>
      <c r="J346" s="1160"/>
      <c r="K346" s="1160"/>
      <c r="L346" s="1160"/>
      <c r="M346" s="1160"/>
      <c r="N346" s="1160"/>
      <c r="O346" s="1160"/>
      <c r="P346" s="1160"/>
      <c r="Q346" s="1160"/>
      <c r="R346" s="1160"/>
      <c r="S346" s="1160"/>
      <c r="T346" s="1160"/>
      <c r="U346" s="1160"/>
      <c r="V346" s="1160"/>
      <c r="W346" s="1160"/>
      <c r="X346" s="1160"/>
      <c r="Y346" s="1160"/>
      <c r="Z346" s="1160"/>
      <c r="AA346" s="1160"/>
      <c r="AB346" s="1160"/>
      <c r="AC346" s="1160"/>
      <c r="AD346" s="1160"/>
      <c r="AE346" s="1160"/>
      <c r="AF346" s="1160"/>
      <c r="AG346" s="1160"/>
      <c r="AH346" s="1160"/>
      <c r="AI346" s="1160"/>
      <c r="AJ346" s="1160"/>
      <c r="AK346" s="1160"/>
      <c r="AL346" s="1160"/>
      <c r="AM346" s="1160"/>
      <c r="AN346" s="1160"/>
      <c r="AO346" s="1160"/>
      <c r="AP346" s="1160"/>
      <c r="AQ346" s="1160"/>
      <c r="AR346" s="1160"/>
      <c r="AS346" s="1160"/>
      <c r="AT346" s="1160"/>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75" t="s">
        <v>108</v>
      </c>
      <c r="N349" s="1175"/>
      <c r="P349" t="s">
        <v>1961</v>
      </c>
      <c r="AJ349" s="1175" t="s">
        <v>124</v>
      </c>
      <c r="AK349" s="1175"/>
    </row>
    <row r="350" spans="1:53" ht="12.9" customHeight="1">
      <c r="D350" s="41" t="s">
        <v>1888</v>
      </c>
      <c r="M350" s="1175" t="s">
        <v>124</v>
      </c>
      <c r="N350" s="1175"/>
      <c r="P350" s="41" t="s">
        <v>1962</v>
      </c>
      <c r="AJ350" s="1088"/>
      <c r="AK350" s="1088"/>
    </row>
    <row r="351" spans="1:53" ht="12.9" customHeight="1">
      <c r="D351" t="s">
        <v>313</v>
      </c>
      <c r="M351" s="1175" t="s">
        <v>124</v>
      </c>
      <c r="N351" s="1175"/>
      <c r="P351" t="s">
        <v>1963</v>
      </c>
      <c r="AJ351" s="1175" t="s">
        <v>124</v>
      </c>
      <c r="AK351" s="1175"/>
    </row>
    <row r="352" spans="1:53" ht="12.9" customHeight="1">
      <c r="D352" t="s">
        <v>314</v>
      </c>
      <c r="M352" s="1175" t="s">
        <v>124</v>
      </c>
      <c r="N352" s="1175"/>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75" t="s">
        <v>124</v>
      </c>
      <c r="O357" s="1175"/>
      <c r="P357" s="49"/>
      <c r="Q357" s="49"/>
      <c r="R357" s="49"/>
      <c r="S357" s="49"/>
      <c r="T357" s="49"/>
      <c r="U357" s="49"/>
      <c r="V357" s="49"/>
      <c r="W357" s="49"/>
      <c r="X357" s="49"/>
      <c r="Y357" s="49"/>
      <c r="Z357" s="49"/>
      <c r="AC357" s="49"/>
      <c r="AD357" s="49"/>
      <c r="AE357" s="49"/>
    </row>
    <row r="358" spans="1:57" ht="12.9" customHeight="1">
      <c r="E358" t="s">
        <v>733</v>
      </c>
      <c r="Y358" s="1175" t="s">
        <v>124</v>
      </c>
      <c r="Z358" s="1175"/>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75" t="s">
        <v>124</v>
      </c>
      <c r="K360" s="1175"/>
      <c r="L360" s="49"/>
      <c r="M360" s="49"/>
      <c r="N360" s="49"/>
      <c r="O360" s="49"/>
      <c r="P360" s="49"/>
      <c r="Q360" s="49"/>
      <c r="R360" s="49"/>
      <c r="S360" s="49"/>
      <c r="T360" s="49"/>
      <c r="U360" s="49"/>
      <c r="V360" s="49"/>
      <c r="W360" s="49"/>
      <c r="X360" s="49"/>
      <c r="Y360" s="49"/>
      <c r="Z360" s="49"/>
      <c r="AC360" s="49"/>
      <c r="AD360" s="49"/>
      <c r="AE360" s="49"/>
    </row>
    <row r="361" spans="1:57" ht="12.9" customHeight="1">
      <c r="E361" s="977" t="s">
        <v>315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2.9"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482</v>
      </c>
    </row>
    <row r="363" spans="1:57" ht="12.9" customHeight="1">
      <c r="E363" s="5" t="s">
        <v>590</v>
      </c>
      <c r="F363" s="5"/>
      <c r="G363" s="5"/>
      <c r="H363" s="5"/>
      <c r="I363" s="5"/>
      <c r="J363" s="5"/>
      <c r="K363" s="5"/>
      <c r="L363" s="5"/>
      <c r="N363" s="1178"/>
      <c r="O363" s="1178"/>
      <c r="P363" s="1178"/>
      <c r="Q363" s="1178"/>
      <c r="R363" s="5"/>
      <c r="U363" s="5" t="s">
        <v>591</v>
      </c>
      <c r="V363" s="5"/>
      <c r="W363" s="5"/>
      <c r="X363" s="5"/>
      <c r="Y363" s="5"/>
      <c r="Z363" s="5"/>
      <c r="AA363" s="5"/>
      <c r="AB363" s="5"/>
      <c r="AC363" s="1178"/>
      <c r="AD363" s="1178"/>
      <c r="AE363" s="1178"/>
      <c r="AF363" s="1178"/>
      <c r="BE363" t="s">
        <v>108</v>
      </c>
    </row>
    <row r="364" spans="1:57" ht="12.9" customHeight="1">
      <c r="E364" s="5" t="s">
        <v>592</v>
      </c>
      <c r="F364" s="5"/>
      <c r="G364" s="5"/>
      <c r="H364" s="5"/>
      <c r="I364" s="5"/>
      <c r="J364" s="5"/>
      <c r="K364" s="5"/>
      <c r="L364" s="5"/>
      <c r="N364" s="1178"/>
      <c r="O364" s="1178"/>
      <c r="P364" s="1178"/>
      <c r="Q364" s="1178"/>
      <c r="R364" s="5"/>
      <c r="U364" s="5" t="s">
        <v>593</v>
      </c>
      <c r="V364" s="5"/>
      <c r="W364" s="5"/>
      <c r="X364" s="5"/>
      <c r="Y364" s="5"/>
      <c r="Z364" s="5"/>
      <c r="AA364" s="5"/>
      <c r="AB364" s="5"/>
      <c r="AC364" s="1178"/>
      <c r="AD364" s="1178"/>
      <c r="AE364" s="1178"/>
      <c r="AF364" s="1178"/>
    </row>
    <row r="365" spans="1:57" ht="12.9" customHeight="1">
      <c r="E365" s="5" t="s">
        <v>64</v>
      </c>
      <c r="F365" s="5"/>
      <c r="G365" s="5"/>
      <c r="H365" s="5"/>
      <c r="I365" s="5"/>
      <c r="J365" s="5"/>
      <c r="K365" s="5"/>
      <c r="L365" s="5"/>
      <c r="N365" s="1178"/>
      <c r="O365" s="1178"/>
      <c r="P365" s="1178"/>
      <c r="Q365" s="1178"/>
      <c r="R365" s="5"/>
      <c r="V365" s="5"/>
      <c r="W365" s="5"/>
      <c r="X365" s="5"/>
      <c r="Y365" s="5"/>
      <c r="Z365" s="5"/>
      <c r="AA365" s="5"/>
      <c r="AB365" s="5"/>
    </row>
    <row r="366" spans="1:57" ht="12.9" customHeight="1">
      <c r="E366" s="5" t="s">
        <v>65</v>
      </c>
      <c r="F366" s="5"/>
      <c r="G366" s="5"/>
      <c r="H366" s="5"/>
      <c r="I366" s="5"/>
      <c r="J366" s="5"/>
      <c r="K366" s="5"/>
      <c r="L366" s="5"/>
      <c r="N366" s="1494"/>
      <c r="O366" s="1494"/>
      <c r="P366" s="1494"/>
      <c r="Q366" s="1494"/>
      <c r="R366" s="1494"/>
      <c r="S366" s="1494"/>
      <c r="T366" s="1494"/>
      <c r="U366" s="1494"/>
      <c r="V366" s="1494"/>
      <c r="W366" s="1494"/>
      <c r="X366" s="1494"/>
      <c r="Y366" s="1494"/>
      <c r="Z366" s="1494"/>
      <c r="AA366" s="1494"/>
      <c r="AB366" s="1494"/>
      <c r="AC366" s="1494"/>
      <c r="AD366" s="1494"/>
      <c r="AE366" s="1494"/>
      <c r="AF366" s="1494"/>
    </row>
    <row r="367" spans="1:57" ht="12.9" customHeight="1">
      <c r="E367" s="5"/>
      <c r="F367" s="5"/>
      <c r="G367" s="5"/>
      <c r="H367" s="5"/>
      <c r="I367" s="5"/>
      <c r="J367" s="5"/>
      <c r="K367" s="5"/>
      <c r="L367" s="5"/>
      <c r="N367" s="1495"/>
      <c r="O367" s="1495"/>
      <c r="P367" s="1495"/>
      <c r="Q367" s="1495"/>
      <c r="R367" s="1495"/>
      <c r="S367" s="1495"/>
      <c r="T367" s="1495"/>
      <c r="U367" s="1495"/>
      <c r="V367" s="1495"/>
      <c r="W367" s="1495"/>
      <c r="X367" s="1495"/>
      <c r="Y367" s="1495"/>
      <c r="Z367" s="1495"/>
      <c r="AA367" s="1495"/>
      <c r="AB367" s="1495"/>
      <c r="AC367" s="1495"/>
      <c r="AD367" s="1495"/>
      <c r="AE367" s="1495"/>
      <c r="AF367" s="1495"/>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43"/>
      <c r="T370" s="1343"/>
      <c r="U370" s="370" t="s">
        <v>232</v>
      </c>
      <c r="V370" s="1343"/>
      <c r="W370" s="1343"/>
      <c r="X370" s="361"/>
      <c r="Z370" s="361"/>
      <c r="AA370" s="940" t="s">
        <v>2104</v>
      </c>
      <c r="AB370" s="361" t="s">
        <v>231</v>
      </c>
      <c r="AC370" s="361"/>
      <c r="AD370" s="1343"/>
      <c r="AE370" s="1343"/>
      <c r="AF370" s="370" t="s">
        <v>232</v>
      </c>
      <c r="AG370" s="1343"/>
      <c r="AH370" s="1343"/>
    </row>
    <row r="371" spans="1:36" ht="12.9" customHeight="1">
      <c r="D371" s="361"/>
      <c r="E371" s="361" t="s">
        <v>1235</v>
      </c>
      <c r="F371" s="361"/>
      <c r="G371" s="361"/>
      <c r="H371" s="361"/>
      <c r="I371" s="361"/>
      <c r="J371" s="361"/>
      <c r="K371" s="361"/>
      <c r="L371" s="361"/>
      <c r="M371" s="361"/>
      <c r="N371" s="1343"/>
      <c r="O371" s="1343"/>
      <c r="P371" s="1343"/>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64" t="s">
        <v>124</v>
      </c>
      <c r="AH372" s="1364"/>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64" t="s">
        <v>124</v>
      </c>
      <c r="AH373" s="1364"/>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364" t="s">
        <v>124</v>
      </c>
      <c r="W374" s="1364"/>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64" t="s">
        <v>124</v>
      </c>
      <c r="W375" s="1364"/>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80" t="s">
        <v>2465</v>
      </c>
      <c r="K378" s="1080"/>
      <c r="L378" s="1080"/>
      <c r="M378" s="1080"/>
      <c r="N378" s="1080"/>
      <c r="O378" s="1080"/>
      <c r="P378" s="1080"/>
      <c r="Q378" s="1080"/>
      <c r="R378" s="1080"/>
      <c r="S378" s="1080"/>
      <c r="T378" s="1080"/>
      <c r="U378" s="1080"/>
      <c r="V378" s="12" t="s">
        <v>710</v>
      </c>
      <c r="W378" s="12"/>
      <c r="X378" s="12"/>
      <c r="Y378" s="12"/>
      <c r="Z378" s="12"/>
      <c r="AA378" s="12"/>
      <c r="AB378" s="12"/>
      <c r="AC378" s="1080"/>
      <c r="AD378" s="1080"/>
      <c r="AE378" s="1080"/>
      <c r="AF378" s="1080"/>
      <c r="AG378" s="1080"/>
      <c r="AH378" s="1080"/>
      <c r="AI378" s="1080"/>
      <c r="AJ378" s="1080"/>
    </row>
    <row r="379" spans="1:36" ht="12.9" customHeight="1">
      <c r="D379" s="41" t="s">
        <v>1964</v>
      </c>
      <c r="J379" s="1311" t="s">
        <v>2466</v>
      </c>
      <c r="K379" s="1130"/>
      <c r="L379" s="1130"/>
      <c r="M379" s="1130"/>
      <c r="N379" s="1130"/>
      <c r="O379" s="1130"/>
      <c r="P379" s="1130"/>
      <c r="Q379" s="1130"/>
      <c r="R379" s="1130"/>
      <c r="S379" s="1130"/>
      <c r="T379" s="1130"/>
      <c r="U379" s="1130"/>
      <c r="V379" s="41" t="s">
        <v>1964</v>
      </c>
      <c r="W379" s="12"/>
      <c r="X379" s="12"/>
      <c r="Y379" s="12"/>
      <c r="Z379" s="12"/>
      <c r="AA379" s="12"/>
      <c r="AB379" s="12"/>
      <c r="AC379" s="1080"/>
      <c r="AD379" s="1080"/>
      <c r="AE379" s="1080"/>
      <c r="AF379" s="1080"/>
      <c r="AG379" s="1080"/>
      <c r="AH379" s="1080"/>
      <c r="AI379" s="1080"/>
      <c r="AJ379" s="1080"/>
    </row>
    <row r="380" spans="1:36" ht="12.9" customHeight="1">
      <c r="D380" s="41" t="s">
        <v>544</v>
      </c>
      <c r="J380" s="1311" t="s">
        <v>2467</v>
      </c>
      <c r="K380" s="1130"/>
      <c r="L380" s="1130"/>
      <c r="M380" s="1130"/>
      <c r="N380" s="1130"/>
      <c r="O380" s="1130"/>
      <c r="P380" s="1130"/>
      <c r="Q380" s="1130"/>
      <c r="R380" s="1130"/>
      <c r="S380" s="1130"/>
      <c r="T380" s="1130"/>
      <c r="U380" s="1130"/>
      <c r="V380" s="41" t="s">
        <v>544</v>
      </c>
      <c r="W380" s="12"/>
      <c r="X380" s="12"/>
      <c r="Y380" s="12"/>
      <c r="Z380" s="12"/>
      <c r="AA380" s="12"/>
      <c r="AB380" s="12"/>
      <c r="AC380" s="1080"/>
      <c r="AD380" s="1080"/>
      <c r="AE380" s="1080"/>
      <c r="AF380" s="1080"/>
      <c r="AG380" s="1080"/>
      <c r="AH380" s="1080"/>
      <c r="AI380" s="1080"/>
      <c r="AJ380" s="1080"/>
    </row>
    <row r="381" spans="1:36" ht="12.9" customHeight="1">
      <c r="D381" t="s">
        <v>1965</v>
      </c>
      <c r="J381" s="1132"/>
      <c r="K381" s="1132"/>
      <c r="L381" s="1132"/>
      <c r="M381" s="1132"/>
      <c r="N381" s="1132"/>
      <c r="O381" s="1132"/>
      <c r="P381" s="1132"/>
      <c r="Q381" s="1132"/>
      <c r="R381" s="1132"/>
      <c r="S381" s="1132"/>
      <c r="T381" s="1132"/>
      <c r="U381" s="1132"/>
      <c r="V381" s="1080"/>
      <c r="W381" s="1080"/>
      <c r="X381" s="1080"/>
      <c r="Y381" s="1080"/>
      <c r="Z381" s="1080"/>
      <c r="AA381" s="1080"/>
      <c r="AB381" s="1080"/>
      <c r="AC381" s="1080"/>
      <c r="AD381" s="1080"/>
      <c r="AE381" s="1080"/>
      <c r="AF381" s="1080"/>
      <c r="AG381" s="1080"/>
      <c r="AH381" s="1080"/>
      <c r="AI381" s="1080"/>
      <c r="AJ381" s="1080"/>
    </row>
    <row r="382" spans="1:36" ht="12.9" customHeight="1">
      <c r="D382" t="s">
        <v>554</v>
      </c>
      <c r="Q382" s="1392">
        <v>44501</v>
      </c>
      <c r="R382" s="1392"/>
      <c r="S382" s="1392"/>
      <c r="T382" s="1392"/>
      <c r="U382" s="1392"/>
      <c r="V382" t="s">
        <v>168</v>
      </c>
      <c r="AI382" s="1175" t="s">
        <v>482</v>
      </c>
      <c r="AJ382" s="1175"/>
    </row>
    <row r="383" spans="1:36" ht="12.9" customHeight="1">
      <c r="D383" t="s">
        <v>555</v>
      </c>
      <c r="Q383" s="1403">
        <v>45657</v>
      </c>
      <c r="R383" s="1260"/>
      <c r="S383" s="1260"/>
      <c r="T383" s="1260"/>
      <c r="U383" s="1260"/>
      <c r="W383" s="29" t="s">
        <v>20</v>
      </c>
      <c r="AG383" s="1382"/>
      <c r="AH383" s="1382"/>
      <c r="AI383" s="1382"/>
      <c r="AJ383" s="1382"/>
    </row>
    <row r="384" spans="1:36" ht="12.9" customHeight="1">
      <c r="D384" t="s">
        <v>274</v>
      </c>
      <c r="Q384" s="1473">
        <v>650000</v>
      </c>
      <c r="R384" s="1473"/>
      <c r="S384" s="1473"/>
      <c r="T384" s="1473"/>
      <c r="U384" s="1473"/>
      <c r="V384" s="41" t="s">
        <v>1966</v>
      </c>
      <c r="AG384" s="1529">
        <v>45657</v>
      </c>
      <c r="AH384" s="1529"/>
      <c r="AI384" s="1529"/>
      <c r="AJ384" s="1529"/>
    </row>
    <row r="385" spans="4:36" ht="12.9" customHeight="1">
      <c r="D385" t="s">
        <v>375</v>
      </c>
      <c r="I385" s="1587"/>
      <c r="J385" s="1587"/>
      <c r="K385" s="1587"/>
      <c r="L385" s="1587"/>
      <c r="M385" s="1587"/>
      <c r="N385" s="1587"/>
      <c r="Q385" s="41" t="s">
        <v>818</v>
      </c>
      <c r="S385" s="1550"/>
      <c r="T385" s="1550"/>
      <c r="U385" s="1550"/>
      <c r="V385" t="s">
        <v>19</v>
      </c>
      <c r="AI385" s="1175" t="s">
        <v>482</v>
      </c>
      <c r="AJ385" s="1175"/>
    </row>
    <row r="386" spans="4:36" ht="12.9" customHeight="1">
      <c r="D386" t="s">
        <v>169</v>
      </c>
      <c r="Q386" s="1135"/>
      <c r="R386" s="1135"/>
      <c r="S386" s="1135"/>
      <c r="T386" s="1135"/>
      <c r="U386" s="1135"/>
      <c r="V386" t="s">
        <v>170</v>
      </c>
      <c r="AG386" s="1382"/>
      <c r="AH386" s="1382"/>
      <c r="AI386" s="1382"/>
      <c r="AJ386" s="1382"/>
    </row>
    <row r="387" spans="4:36" ht="12.9" customHeight="1">
      <c r="D387" t="s">
        <v>25</v>
      </c>
      <c r="Q387" s="1435"/>
      <c r="R387" s="1435"/>
      <c r="S387" s="1435"/>
      <c r="T387" s="1435"/>
      <c r="U387" s="1435"/>
      <c r="V387" t="s">
        <v>1682</v>
      </c>
      <c r="AG387" s="1382"/>
      <c r="AH387" s="1382"/>
      <c r="AI387" s="1382"/>
      <c r="AJ387" s="1382"/>
    </row>
    <row r="388" spans="4:36" ht="12.9" customHeight="1">
      <c r="D388" t="s">
        <v>1967</v>
      </c>
      <c r="AG388" s="1382"/>
      <c r="AH388" s="1382"/>
      <c r="AI388" s="1382"/>
      <c r="AJ388" s="1382"/>
    </row>
    <row r="389" spans="4:36" ht="12.9" customHeight="1">
      <c r="AG389" s="832"/>
      <c r="AH389" s="832"/>
      <c r="AI389" s="832"/>
      <c r="AJ389" s="832"/>
    </row>
    <row r="390" spans="4:36" ht="12.9" customHeight="1">
      <c r="D390" s="41" t="s">
        <v>2206</v>
      </c>
      <c r="AG390" s="832"/>
      <c r="AH390" s="832"/>
      <c r="AI390" s="1175" t="s">
        <v>482</v>
      </c>
      <c r="AJ390" s="1175"/>
    </row>
    <row r="391" spans="4:36" ht="12.9" customHeight="1">
      <c r="D391" s="41" t="s">
        <v>1968</v>
      </c>
      <c r="T391" s="1331"/>
      <c r="U391" s="1331"/>
      <c r="V391" s="1331"/>
      <c r="W391" s="1331"/>
      <c r="X391" s="1331"/>
      <c r="Y391" s="1331"/>
      <c r="Z391" s="1331"/>
      <c r="AA391" s="1331"/>
      <c r="AB391" s="1331"/>
      <c r="AC391" s="1331"/>
      <c r="AD391" s="1331"/>
      <c r="AE391" s="1331"/>
      <c r="AF391" s="1331"/>
      <c r="AG391" s="1331"/>
      <c r="AH391" s="1331"/>
      <c r="AI391" s="1331"/>
      <c r="AJ391" s="1331"/>
    </row>
    <row r="392" spans="4:36" ht="12.9" customHeight="1">
      <c r="D392" s="41" t="s">
        <v>1969</v>
      </c>
      <c r="T392" s="1331"/>
      <c r="U392" s="1331"/>
      <c r="V392" s="1331"/>
      <c r="W392" s="1331"/>
      <c r="X392" s="1331"/>
      <c r="Y392" s="1331"/>
      <c r="Z392" s="1331"/>
      <c r="AA392" s="1331"/>
      <c r="AB392" s="1331"/>
      <c r="AC392" s="1331"/>
      <c r="AD392" s="1331"/>
      <c r="AE392" s="1331"/>
      <c r="AF392" s="1331"/>
      <c r="AG392" s="1331"/>
      <c r="AH392" s="1331"/>
      <c r="AI392" s="1331"/>
      <c r="AJ392" s="1331"/>
    </row>
    <row r="393" spans="4:36" ht="12.9" customHeight="1">
      <c r="AG393" s="832"/>
      <c r="AH393" s="832"/>
      <c r="AI393" s="832"/>
      <c r="AJ393" s="832"/>
    </row>
    <row r="394" spans="4:36" ht="12.9" customHeight="1">
      <c r="D394" s="41" t="s">
        <v>1970</v>
      </c>
      <c r="S394" s="1331" t="s">
        <v>482</v>
      </c>
      <c r="T394" s="1331"/>
      <c r="U394" s="1331"/>
      <c r="V394" t="s">
        <v>1971</v>
      </c>
      <c r="AG394" s="1391"/>
      <c r="AH394" s="1391"/>
      <c r="AI394" s="1391"/>
      <c r="AJ394" s="1391"/>
    </row>
    <row r="395" spans="4:36" ht="12.9" customHeight="1">
      <c r="D395" s="41" t="s">
        <v>1972</v>
      </c>
      <c r="S395" s="1331" t="s">
        <v>124</v>
      </c>
      <c r="T395" s="1331"/>
      <c r="U395" s="1331"/>
      <c r="V395" t="s">
        <v>1973</v>
      </c>
      <c r="AE395" s="1596"/>
      <c r="AF395" s="1596"/>
      <c r="AG395" s="1596"/>
      <c r="AH395" s="1596"/>
      <c r="AI395" s="1596"/>
      <c r="AJ395" s="1596"/>
    </row>
    <row r="396" spans="4:36" ht="12.9" customHeight="1">
      <c r="D396" s="41" t="s">
        <v>1974</v>
      </c>
      <c r="K396" s="1390"/>
      <c r="L396" s="1390"/>
      <c r="M396" s="1390"/>
      <c r="N396" s="1390"/>
      <c r="O396" s="1390"/>
      <c r="P396" s="1390"/>
      <c r="Q396" s="1390"/>
      <c r="R396" s="1390"/>
      <c r="S396" s="1390"/>
      <c r="T396" s="1390"/>
      <c r="U396" s="1390"/>
      <c r="V396" s="1390"/>
      <c r="W396" s="1390"/>
      <c r="X396" s="1390"/>
      <c r="Y396" s="1390"/>
      <c r="Z396" s="1390"/>
      <c r="AA396" s="1390"/>
      <c r="AB396" s="1390"/>
      <c r="AC396" s="1390"/>
      <c r="AD396" s="1390"/>
      <c r="AE396" s="1390"/>
      <c r="AF396" s="1390"/>
      <c r="AG396" s="1390"/>
      <c r="AH396" s="1390"/>
      <c r="AI396" s="1390"/>
      <c r="AJ396" s="1390"/>
    </row>
    <row r="397" spans="4:36" ht="12.9" customHeight="1">
      <c r="D397" s="41" t="s">
        <v>1975</v>
      </c>
      <c r="K397" s="1390"/>
      <c r="L397" s="1390"/>
      <c r="M397" s="1390"/>
      <c r="N397" s="1390"/>
      <c r="O397" s="1390"/>
      <c r="P397" s="1390"/>
      <c r="Q397" s="1390"/>
      <c r="R397" s="1390"/>
      <c r="S397" s="1390"/>
      <c r="T397" s="1390"/>
      <c r="U397" s="1390"/>
      <c r="V397" s="1390"/>
      <c r="W397" s="1390"/>
      <c r="X397" s="1390"/>
      <c r="Y397" s="1390"/>
      <c r="Z397" s="1390"/>
      <c r="AA397" s="1390"/>
      <c r="AB397" s="1390"/>
      <c r="AC397" s="1390"/>
      <c r="AD397" s="1390"/>
      <c r="AE397" s="1390"/>
      <c r="AF397" s="1390"/>
      <c r="AG397" s="1390"/>
      <c r="AH397" s="1390"/>
      <c r="AI397" s="1390"/>
      <c r="AJ397" s="1390"/>
    </row>
    <row r="398" spans="4:36" ht="12.9" customHeight="1">
      <c r="D398" s="41" t="s">
        <v>1976</v>
      </c>
      <c r="E398" s="813"/>
      <c r="F398" s="813"/>
      <c r="G398" s="813"/>
      <c r="H398" s="813"/>
      <c r="I398" s="813"/>
      <c r="J398" s="813"/>
      <c r="K398" s="813"/>
      <c r="L398" s="813"/>
      <c r="M398" s="813"/>
      <c r="N398" s="813"/>
      <c r="O398" s="813"/>
      <c r="P398" s="813"/>
      <c r="Q398" s="813"/>
      <c r="R398" s="813"/>
      <c r="S398" s="1393" t="s">
        <v>1977</v>
      </c>
      <c r="T398" s="1393"/>
      <c r="U398" s="1393"/>
      <c r="V398" s="1393"/>
      <c r="W398" s="1393"/>
      <c r="X398" s="1393"/>
      <c r="Y398" s="1393"/>
      <c r="Z398" s="1393"/>
      <c r="AA398" s="1393"/>
      <c r="AB398" s="1393"/>
      <c r="AC398" s="1393"/>
      <c r="AD398" s="1393"/>
      <c r="AE398" s="1393"/>
      <c r="AF398" s="1393"/>
      <c r="AG398" s="1393"/>
      <c r="AH398" s="1393"/>
      <c r="AI398" s="1393"/>
      <c r="AJ398" s="1393"/>
    </row>
    <row r="399" spans="4:36" ht="12.9" customHeight="1">
      <c r="D399" s="974" t="s">
        <v>1978</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 customHeight="1">
      <c r="AG401" s="832"/>
      <c r="AH401" s="832"/>
      <c r="AI401" s="832"/>
      <c r="AJ401" s="832"/>
    </row>
    <row r="402" spans="1:36" ht="12.9" customHeight="1">
      <c r="A402" s="3" t="s">
        <v>122</v>
      </c>
      <c r="B402" s="3"/>
      <c r="C402" s="3" t="s">
        <v>899</v>
      </c>
    </row>
    <row r="403" spans="1:36" ht="12.9" customHeight="1">
      <c r="D403" s="3" t="s">
        <v>1735</v>
      </c>
      <c r="I403" s="1180" t="s">
        <v>2447</v>
      </c>
      <c r="J403" s="1180"/>
      <c r="K403" s="1180"/>
      <c r="L403" s="1180"/>
      <c r="M403" s="1180"/>
      <c r="N403" s="1180"/>
      <c r="O403" s="1180"/>
      <c r="P403" s="1180"/>
      <c r="Q403" s="1180"/>
      <c r="R403" s="1180"/>
      <c r="S403" s="1180"/>
      <c r="T403" s="1180"/>
      <c r="U403" s="1180"/>
      <c r="V403" s="1180"/>
      <c r="W403" s="1180"/>
      <c r="X403" s="1180"/>
      <c r="Y403" s="1180"/>
      <c r="Z403" s="1180"/>
      <c r="AA403" s="1180"/>
      <c r="AB403" s="1180"/>
      <c r="AC403" s="1180"/>
      <c r="AD403" s="1180"/>
    </row>
    <row r="404" spans="1:36" ht="12.9" customHeight="1">
      <c r="E404" t="s">
        <v>855</v>
      </c>
      <c r="R404" s="1175" t="s">
        <v>124</v>
      </c>
      <c r="S404" s="1175"/>
      <c r="T404" t="s">
        <v>291</v>
      </c>
      <c r="AD404" s="1178">
        <v>0</v>
      </c>
      <c r="AE404" s="1178"/>
    </row>
    <row r="405" spans="1:36" ht="12.9" customHeight="1">
      <c r="E405" t="s">
        <v>856</v>
      </c>
      <c r="R405" s="1175" t="s">
        <v>108</v>
      </c>
      <c r="S405" s="1175"/>
      <c r="T405" t="s">
        <v>291</v>
      </c>
      <c r="AD405" s="1178">
        <v>2</v>
      </c>
      <c r="AE405" s="1178"/>
    </row>
    <row r="406" spans="1:36" ht="12.9" customHeight="1">
      <c r="E406" t="s">
        <v>857</v>
      </c>
      <c r="S406" s="1175" t="s">
        <v>124</v>
      </c>
      <c r="T406" s="1175"/>
    </row>
    <row r="407" spans="1:36" ht="12.9" customHeight="1">
      <c r="E407" t="s">
        <v>283</v>
      </c>
      <c r="H407" s="1176" t="s">
        <v>562</v>
      </c>
      <c r="I407" s="1176"/>
      <c r="J407" s="1176"/>
      <c r="K407" s="1176"/>
      <c r="L407" s="1176"/>
      <c r="M407" s="1176"/>
      <c r="N407" s="1176"/>
      <c r="O407" s="1176"/>
      <c r="P407" s="1176"/>
      <c r="Q407" s="1176"/>
      <c r="R407" s="1176"/>
      <c r="S407" s="1176"/>
      <c r="T407" s="1176"/>
      <c r="U407" s="1176"/>
      <c r="V407" s="1176"/>
      <c r="W407" s="1176"/>
      <c r="X407" s="1176"/>
      <c r="Y407" s="1176"/>
      <c r="Z407" s="1176"/>
      <c r="AA407" s="1176"/>
      <c r="AB407" s="1176"/>
      <c r="AC407" s="1176"/>
      <c r="AD407" s="1176"/>
      <c r="AE407" s="1176"/>
      <c r="AF407" s="1176"/>
      <c r="AG407" s="1176"/>
      <c r="AH407" s="1176"/>
      <c r="AI407" s="1176"/>
      <c r="AJ407" s="1176"/>
    </row>
    <row r="408" spans="1:36" ht="12.9" customHeight="1">
      <c r="H408" s="1177"/>
      <c r="I408" s="1177"/>
      <c r="J408" s="1177"/>
      <c r="K408" s="1177"/>
      <c r="L408" s="1177"/>
      <c r="M408" s="1177"/>
      <c r="N408" s="1177"/>
      <c r="O408" s="1177"/>
      <c r="P408" s="1177"/>
      <c r="Q408" s="1177"/>
      <c r="R408" s="1177"/>
      <c r="S408" s="1177"/>
      <c r="T408" s="1177"/>
      <c r="U408" s="1177"/>
      <c r="V408" s="1177"/>
      <c r="W408" s="1177"/>
      <c r="X408" s="1177"/>
      <c r="Y408" s="1177"/>
      <c r="Z408" s="1177"/>
      <c r="AA408" s="1177"/>
      <c r="AB408" s="1177"/>
      <c r="AC408" s="1177"/>
      <c r="AD408" s="1177"/>
      <c r="AE408" s="1177"/>
      <c r="AF408" s="1177"/>
      <c r="AG408" s="1177"/>
      <c r="AH408" s="1177"/>
      <c r="AI408" s="1177"/>
      <c r="AJ408" s="1177"/>
    </row>
    <row r="409" spans="1:36" ht="12.9" customHeight="1"/>
    <row r="410" spans="1:36" ht="12.9" customHeight="1">
      <c r="A410" s="3" t="s">
        <v>123</v>
      </c>
      <c r="B410" s="3"/>
      <c r="C410" s="3"/>
      <c r="D410" s="3" t="s">
        <v>902</v>
      </c>
      <c r="AE410" s="5"/>
      <c r="AF410" s="3" t="s">
        <v>1214</v>
      </c>
    </row>
    <row r="411" spans="1:36" ht="12.9" customHeight="1">
      <c r="E411" s="1346"/>
      <c r="F411" s="1346"/>
      <c r="G411" s="1346"/>
      <c r="H411" s="18" t="s">
        <v>903</v>
      </c>
      <c r="I411" s="1346"/>
      <c r="J411" s="1346"/>
      <c r="K411" s="1346"/>
      <c r="L411" t="s">
        <v>904</v>
      </c>
      <c r="N411" s="34" t="s">
        <v>851</v>
      </c>
      <c r="P411" s="1424">
        <v>3.02</v>
      </c>
      <c r="Q411" s="1424"/>
      <c r="R411" s="1424"/>
      <c r="S411" t="s">
        <v>905</v>
      </c>
      <c r="W411" s="1425">
        <f>IF(E411&gt;0,(E411*I411),(P411*43560))</f>
        <v>131551.20000000001</v>
      </c>
      <c r="X411" s="1425"/>
      <c r="Y411" s="1425"/>
      <c r="Z411" t="s">
        <v>906</v>
      </c>
      <c r="AF411" s="1347" cm="1">
        <f t="array" ref="AF411">_xlfn.IFS(P411&gt;0,(AG430/P411),W411&gt;0,(AG430/(W411/43560)),TRUE,0)</f>
        <v>21.192052980132452</v>
      </c>
      <c r="AG411" s="1347"/>
      <c r="AH411" s="1347"/>
    </row>
    <row r="412" spans="1:36" ht="12.9" customHeight="1">
      <c r="E412" t="s">
        <v>203</v>
      </c>
    </row>
    <row r="413" spans="1:36" ht="12.9" customHeight="1">
      <c r="E413" s="1389"/>
      <c r="F413" s="1389"/>
      <c r="G413" s="1389"/>
      <c r="H413" s="1389"/>
      <c r="I413" s="1389"/>
      <c r="J413" s="1389"/>
      <c r="K413" s="1389"/>
      <c r="L413" s="1389"/>
      <c r="M413" s="1389"/>
      <c r="N413" s="1389"/>
      <c r="O413" s="1389"/>
      <c r="P413" s="1389"/>
      <c r="Q413" s="1389"/>
      <c r="R413" s="1389"/>
      <c r="S413" s="1389"/>
      <c r="T413" s="1389"/>
      <c r="U413" s="1389"/>
      <c r="V413" s="1389"/>
      <c r="W413" s="1389"/>
      <c r="X413" s="1389"/>
      <c r="Y413" s="1389"/>
      <c r="Z413" s="1389"/>
      <c r="AA413" s="1389"/>
      <c r="AB413" s="1389"/>
      <c r="AC413" s="1389"/>
      <c r="AD413" s="1389"/>
      <c r="AE413" s="1389"/>
      <c r="AF413" s="1389"/>
      <c r="AG413" s="1389"/>
      <c r="AH413" s="1389"/>
      <c r="AI413" s="1389"/>
      <c r="AJ413" s="1389"/>
    </row>
    <row r="414" spans="1:36" ht="12.9" customHeight="1">
      <c r="E414" s="270" t="s">
        <v>1979</v>
      </c>
      <c r="F414" s="29"/>
      <c r="G414" s="29"/>
      <c r="H414" s="29"/>
      <c r="I414" s="1385">
        <v>3.02</v>
      </c>
      <c r="J414" s="1385"/>
      <c r="K414" s="1385"/>
      <c r="L414" s="29"/>
      <c r="M414" s="270"/>
      <c r="N414" s="29"/>
      <c r="O414" s="29"/>
      <c r="P414" s="1345">
        <f>(CQ628+CS633+CQ647)/I414</f>
        <v>52.649006622516559</v>
      </c>
      <c r="Q414" s="1345"/>
      <c r="R414" s="1345"/>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75">
        <v>6</v>
      </c>
      <c r="Q417" s="1175"/>
      <c r="S417" t="s">
        <v>134</v>
      </c>
      <c r="AE417" s="1175">
        <v>5</v>
      </c>
      <c r="AF417" s="1175"/>
    </row>
    <row r="418" spans="1:36" ht="12.9" customHeight="1">
      <c r="E418" t="s">
        <v>135</v>
      </c>
      <c r="P418" s="1175">
        <v>1</v>
      </c>
      <c r="Q418" s="1175"/>
      <c r="S418" t="s">
        <v>726</v>
      </c>
      <c r="AE418" s="1175" t="s">
        <v>124</v>
      </c>
      <c r="AF418" s="1175"/>
    </row>
    <row r="419" spans="1:36" ht="12.9" customHeight="1">
      <c r="F419" s="36" t="s">
        <v>221</v>
      </c>
    </row>
    <row r="420" spans="1:36" ht="12.9" customHeight="1">
      <c r="F420" s="1383"/>
      <c r="G420" s="1383"/>
      <c r="H420" s="1383"/>
      <c r="I420" s="1383"/>
      <c r="J420" s="1383"/>
      <c r="K420" s="1383"/>
      <c r="L420" s="1383"/>
      <c r="M420" s="1383"/>
      <c r="N420" s="1383"/>
      <c r="O420" s="1383"/>
      <c r="P420" s="1383"/>
      <c r="Q420" s="1383"/>
      <c r="R420" s="1383"/>
      <c r="S420" s="1383"/>
      <c r="T420" s="1383"/>
      <c r="U420" s="1383"/>
      <c r="V420" s="1383"/>
      <c r="W420" s="1383"/>
      <c r="X420" s="1383"/>
      <c r="Y420" s="1383"/>
      <c r="Z420" s="1383"/>
      <c r="AA420" s="1383"/>
      <c r="AB420" s="1383"/>
      <c r="AC420" s="1383"/>
      <c r="AD420" s="1383"/>
      <c r="AE420" s="1383"/>
      <c r="AF420" s="1383"/>
      <c r="AG420" s="1383"/>
      <c r="AH420" s="1383"/>
    </row>
    <row r="421" spans="1:36" ht="12.9" customHeight="1">
      <c r="F421" s="1384"/>
      <c r="G421" s="1384"/>
      <c r="H421" s="1384"/>
      <c r="I421" s="1384"/>
      <c r="J421" s="1384"/>
      <c r="K421" s="1384"/>
      <c r="L421" s="1384"/>
      <c r="M421" s="1384"/>
      <c r="N421" s="1384"/>
      <c r="O421" s="1384"/>
      <c r="P421" s="1384"/>
      <c r="Q421" s="1384"/>
      <c r="R421" s="1384"/>
      <c r="S421" s="1384"/>
      <c r="T421" s="1384"/>
      <c r="U421" s="1384"/>
      <c r="V421" s="1384"/>
      <c r="W421" s="1384"/>
      <c r="X421" s="1384"/>
      <c r="Y421" s="1384"/>
      <c r="Z421" s="1384"/>
      <c r="AA421" s="1384"/>
      <c r="AB421" s="1384"/>
      <c r="AC421" s="1384"/>
      <c r="AD421" s="1384"/>
      <c r="AE421" s="1384"/>
      <c r="AF421" s="1384"/>
      <c r="AG421" s="1384"/>
      <c r="AH421" s="1384"/>
    </row>
    <row r="422" spans="1:36" ht="12.9" customHeight="1">
      <c r="E422" t="s">
        <v>858</v>
      </c>
      <c r="P422" s="1"/>
      <c r="Q422" s="1175" t="s">
        <v>108</v>
      </c>
      <c r="R422" s="1175"/>
      <c r="AE422" s="1"/>
      <c r="AF422" s="1"/>
    </row>
    <row r="423" spans="1:36" ht="12.9" customHeight="1">
      <c r="F423" t="s">
        <v>859</v>
      </c>
      <c r="P423" s="1"/>
      <c r="Q423" s="1"/>
      <c r="AE423" s="1175" t="s">
        <v>124</v>
      </c>
      <c r="AF423" s="1420"/>
    </row>
    <row r="424" spans="1:36" ht="12.9" customHeight="1"/>
    <row r="425" spans="1:36" ht="12.9" customHeight="1">
      <c r="A425" s="3"/>
      <c r="B425" s="3"/>
      <c r="C425" s="3"/>
      <c r="E425" s="5" t="s">
        <v>80</v>
      </c>
      <c r="Z425" s="1175" t="s">
        <v>108</v>
      </c>
      <c r="AA425" s="1175"/>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75" t="s">
        <v>482</v>
      </c>
      <c r="AA427" s="1175"/>
    </row>
    <row r="428" spans="1:36" ht="12.9" customHeight="1"/>
    <row r="429" spans="1:36" ht="12.9" customHeight="1">
      <c r="A429" s="3" t="s">
        <v>367</v>
      </c>
      <c r="B429" s="3"/>
      <c r="C429" s="3"/>
      <c r="D429" s="3" t="s">
        <v>172</v>
      </c>
      <c r="AF429" s="54"/>
    </row>
    <row r="430" spans="1:36" ht="12.9" customHeight="1">
      <c r="D430" s="1388" t="s">
        <v>356</v>
      </c>
      <c r="E430" s="1366"/>
      <c r="F430" s="1366"/>
      <c r="G430" s="1366"/>
      <c r="H430" s="1366"/>
      <c r="I430" s="1366"/>
      <c r="J430" s="1366"/>
      <c r="K430" s="1366"/>
      <c r="L430" s="1366"/>
      <c r="M430" s="1366"/>
      <c r="N430" s="1366"/>
      <c r="O430" s="1366"/>
      <c r="P430" s="1366"/>
      <c r="Q430" s="1366"/>
      <c r="R430" s="1366"/>
      <c r="S430" s="1366"/>
      <c r="T430" s="1366"/>
      <c r="U430" s="1366"/>
      <c r="V430" s="1366"/>
      <c r="W430" s="1366"/>
      <c r="X430" s="1366"/>
      <c r="Y430" s="1366"/>
      <c r="Z430" s="1366"/>
      <c r="AA430" s="1366"/>
      <c r="AB430" s="1366"/>
      <c r="AC430" s="1366"/>
      <c r="AD430" s="1366"/>
      <c r="AE430" s="1366"/>
      <c r="AF430" s="1367"/>
      <c r="AG430" s="1168">
        <v>64</v>
      </c>
      <c r="AH430" s="1168"/>
      <c r="AI430" s="1168"/>
      <c r="AJ430" s="1168"/>
    </row>
    <row r="431" spans="1:36" ht="12.9" customHeight="1">
      <c r="D431" s="1344" t="s">
        <v>2273</v>
      </c>
      <c r="E431" s="1170"/>
      <c r="F431" s="1170"/>
      <c r="G431" s="1170"/>
      <c r="H431" s="1170"/>
      <c r="I431" s="1170"/>
      <c r="J431" s="1170"/>
      <c r="K431" s="1170"/>
      <c r="L431" s="1170"/>
      <c r="M431" s="1170"/>
      <c r="N431" s="1170"/>
      <c r="O431" s="1170"/>
      <c r="P431" s="1170"/>
      <c r="Q431" s="1170"/>
      <c r="R431" s="1170"/>
      <c r="S431" s="1170"/>
      <c r="T431" s="1170"/>
      <c r="U431" s="1170"/>
      <c r="V431" s="1170"/>
      <c r="W431" s="1170"/>
      <c r="X431" s="1170"/>
      <c r="Y431" s="1170"/>
      <c r="Z431" s="1170"/>
      <c r="AA431" s="1170"/>
      <c r="AB431" s="1170"/>
      <c r="AC431" s="1170"/>
      <c r="AD431" s="1170"/>
      <c r="AE431" s="1170"/>
      <c r="AF431" s="1171"/>
      <c r="AG431" s="1592">
        <v>0</v>
      </c>
      <c r="AH431" s="1593"/>
      <c r="AI431" s="1593"/>
      <c r="AJ431" s="1593"/>
    </row>
    <row r="432" spans="1:36" ht="12.9" customHeight="1">
      <c r="D432" s="1169" t="s">
        <v>1369</v>
      </c>
      <c r="E432" s="1170"/>
      <c r="F432" s="1170"/>
      <c r="G432" s="1170"/>
      <c r="H432" s="1170"/>
      <c r="I432" s="1170"/>
      <c r="J432" s="1170"/>
      <c r="K432" s="1170"/>
      <c r="L432" s="1170"/>
      <c r="M432" s="1170"/>
      <c r="N432" s="1170"/>
      <c r="O432" s="1170"/>
      <c r="P432" s="1170"/>
      <c r="Q432" s="1170"/>
      <c r="R432" s="1170"/>
      <c r="S432" s="1170"/>
      <c r="T432" s="1170"/>
      <c r="U432" s="1170"/>
      <c r="V432" s="1170"/>
      <c r="W432" s="1170"/>
      <c r="X432" s="1170"/>
      <c r="Y432" s="1170"/>
      <c r="Z432" s="1170"/>
      <c r="AA432" s="1170"/>
      <c r="AB432" s="1170"/>
      <c r="AC432" s="1170"/>
      <c r="AD432" s="1170"/>
      <c r="AE432" s="1170"/>
      <c r="AF432" s="1171"/>
      <c r="AG432" s="1168">
        <v>63</v>
      </c>
      <c r="AH432" s="1168"/>
      <c r="AI432" s="1168"/>
      <c r="AJ432" s="1168"/>
    </row>
    <row r="433" spans="4:36" ht="12.9" customHeight="1">
      <c r="D433" s="1169" t="s">
        <v>1366</v>
      </c>
      <c r="E433" s="1170"/>
      <c r="F433" s="1170"/>
      <c r="G433" s="1170"/>
      <c r="H433" s="1170"/>
      <c r="I433" s="1170"/>
      <c r="J433" s="1170"/>
      <c r="K433" s="1170"/>
      <c r="L433" s="1170"/>
      <c r="M433" s="1170"/>
      <c r="N433" s="1170"/>
      <c r="O433" s="1170"/>
      <c r="P433" s="1170"/>
      <c r="Q433" s="1170"/>
      <c r="R433" s="1170"/>
      <c r="S433" s="1170"/>
      <c r="T433" s="1170"/>
      <c r="U433" s="1170"/>
      <c r="V433" s="1170"/>
      <c r="W433" s="1170"/>
      <c r="X433" s="1170"/>
      <c r="Y433" s="1170"/>
      <c r="Z433" s="1170"/>
      <c r="AA433" s="1170"/>
      <c r="AB433" s="1170"/>
      <c r="AC433" s="1170"/>
      <c r="AD433" s="1170"/>
      <c r="AE433" s="1170"/>
      <c r="AF433" s="1171"/>
      <c r="AG433" s="1168">
        <v>63</v>
      </c>
      <c r="AH433" s="1168"/>
      <c r="AI433" s="1168"/>
      <c r="AJ433" s="1168"/>
    </row>
    <row r="434" spans="4:36" ht="12.9" customHeight="1">
      <c r="D434" s="1169" t="s">
        <v>1370</v>
      </c>
      <c r="E434" s="1170"/>
      <c r="F434" s="1170"/>
      <c r="G434" s="1170"/>
      <c r="H434" s="1170"/>
      <c r="I434" s="1170"/>
      <c r="J434" s="1170"/>
      <c r="K434" s="1170"/>
      <c r="L434" s="1170"/>
      <c r="M434" s="1170"/>
      <c r="N434" s="1170"/>
      <c r="O434" s="1170"/>
      <c r="P434" s="1170"/>
      <c r="Q434" s="1170"/>
      <c r="R434" s="1170"/>
      <c r="S434" s="1170"/>
      <c r="T434" s="1170"/>
      <c r="U434" s="1170"/>
      <c r="V434" s="1170"/>
      <c r="W434" s="1170"/>
      <c r="X434" s="1170"/>
      <c r="Y434" s="1170"/>
      <c r="Z434" s="1170"/>
      <c r="AA434" s="1170"/>
      <c r="AB434" s="1170"/>
      <c r="AC434" s="1170"/>
      <c r="AD434" s="1170"/>
      <c r="AE434" s="1170"/>
      <c r="AF434" s="1171"/>
      <c r="AG434" s="1363">
        <f>IF(ISERROR(AG433/AG432),"",AG433/AG432)</f>
        <v>1</v>
      </c>
      <c r="AH434" s="1363"/>
      <c r="AI434" s="1363"/>
      <c r="AJ434" s="1363"/>
    </row>
    <row r="435" spans="4:36" ht="12.9" customHeight="1">
      <c r="D435" s="1169" t="s">
        <v>1368</v>
      </c>
      <c r="E435" s="1170"/>
      <c r="F435" s="1170"/>
      <c r="G435" s="1170"/>
      <c r="H435" s="1170"/>
      <c r="I435" s="1170"/>
      <c r="J435" s="1170"/>
      <c r="K435" s="1170"/>
      <c r="L435" s="1170"/>
      <c r="M435" s="1170"/>
      <c r="N435" s="1170"/>
      <c r="O435" s="1170"/>
      <c r="P435" s="1170"/>
      <c r="Q435" s="1170"/>
      <c r="R435" s="1170"/>
      <c r="S435" s="1170"/>
      <c r="T435" s="1170"/>
      <c r="U435" s="1170"/>
      <c r="V435" s="1170"/>
      <c r="W435" s="1170"/>
      <c r="X435" s="1170"/>
      <c r="Y435" s="1170"/>
      <c r="Z435" s="1170"/>
      <c r="AA435" s="1170"/>
      <c r="AB435" s="1170"/>
      <c r="AC435" s="1170"/>
      <c r="AD435" s="1170"/>
      <c r="AE435" s="1170"/>
      <c r="AF435" s="1171"/>
      <c r="AG435" s="1179">
        <v>60066</v>
      </c>
      <c r="AH435" s="1179"/>
      <c r="AI435" s="1179"/>
      <c r="AJ435" s="1179"/>
    </row>
    <row r="436" spans="4:36" ht="12.9" customHeight="1">
      <c r="D436" s="1169" t="s">
        <v>1367</v>
      </c>
      <c r="E436" s="1170"/>
      <c r="F436" s="1170"/>
      <c r="G436" s="1170"/>
      <c r="H436" s="1170"/>
      <c r="I436" s="1170"/>
      <c r="J436" s="1170"/>
      <c r="K436" s="1170"/>
      <c r="L436" s="1170"/>
      <c r="M436" s="1170"/>
      <c r="N436" s="1170"/>
      <c r="O436" s="1170"/>
      <c r="P436" s="1170"/>
      <c r="Q436" s="1170"/>
      <c r="R436" s="1170"/>
      <c r="S436" s="1170"/>
      <c r="T436" s="1170"/>
      <c r="U436" s="1170"/>
      <c r="V436" s="1170"/>
      <c r="W436" s="1170"/>
      <c r="X436" s="1170"/>
      <c r="Y436" s="1170"/>
      <c r="Z436" s="1170"/>
      <c r="AA436" s="1170"/>
      <c r="AB436" s="1170"/>
      <c r="AC436" s="1170"/>
      <c r="AD436" s="1170"/>
      <c r="AE436" s="1170"/>
      <c r="AF436" s="1171"/>
      <c r="AG436" s="1179">
        <v>60066</v>
      </c>
      <c r="AH436" s="1179"/>
      <c r="AI436" s="1179"/>
      <c r="AJ436" s="1179"/>
    </row>
    <row r="437" spans="4:36" ht="12.9" customHeight="1">
      <c r="D437" s="1169" t="s">
        <v>1373</v>
      </c>
      <c r="E437" s="1170"/>
      <c r="F437" s="1170"/>
      <c r="G437" s="1170"/>
      <c r="H437" s="1170"/>
      <c r="I437" s="1170"/>
      <c r="J437" s="1170"/>
      <c r="K437" s="1170"/>
      <c r="L437" s="1170"/>
      <c r="M437" s="1170"/>
      <c r="N437" s="1170"/>
      <c r="O437" s="1170"/>
      <c r="P437" s="1170"/>
      <c r="Q437" s="1170"/>
      <c r="R437" s="1170"/>
      <c r="S437" s="1170"/>
      <c r="T437" s="1170"/>
      <c r="U437" s="1170"/>
      <c r="V437" s="1170"/>
      <c r="W437" s="1170"/>
      <c r="X437" s="1170"/>
      <c r="Y437" s="1170"/>
      <c r="Z437" s="1170"/>
      <c r="AA437" s="1170"/>
      <c r="AB437" s="1170"/>
      <c r="AC437" s="1170"/>
      <c r="AD437" s="1170"/>
      <c r="AE437" s="1170"/>
      <c r="AF437" s="1171"/>
      <c r="AG437" s="1363">
        <f>IF(ISERROR(AG436/AG435),"",AG436/AG435)</f>
        <v>1</v>
      </c>
      <c r="AH437" s="1363"/>
      <c r="AI437" s="1363"/>
      <c r="AJ437" s="1363"/>
    </row>
    <row r="438" spans="4:36" ht="12.9" customHeight="1">
      <c r="D438" s="1169" t="s">
        <v>1371</v>
      </c>
      <c r="E438" s="1170"/>
      <c r="F438" s="1170"/>
      <c r="G438" s="1170"/>
      <c r="H438" s="1170"/>
      <c r="I438" s="1170"/>
      <c r="J438" s="1170"/>
      <c r="K438" s="1170"/>
      <c r="L438" s="1170"/>
      <c r="M438" s="1170"/>
      <c r="N438" s="1170"/>
      <c r="O438" s="1170"/>
      <c r="P438" s="1170"/>
      <c r="Q438" s="1170"/>
      <c r="R438" s="1170"/>
      <c r="S438" s="1170"/>
      <c r="T438" s="1170"/>
      <c r="U438" s="1170"/>
      <c r="V438" s="1170"/>
      <c r="W438" s="1170"/>
      <c r="X438" s="1170"/>
      <c r="Y438" s="1170"/>
      <c r="Z438" s="1170"/>
      <c r="AA438" s="1170"/>
      <c r="AB438" s="1170"/>
      <c r="AC438" s="1170"/>
      <c r="AD438" s="1170"/>
      <c r="AE438" s="1170"/>
      <c r="AF438" s="1171"/>
      <c r="AG438" s="1363">
        <f>MIN(IF(AG434&gt;AG437,AG437,AG434),1)</f>
        <v>1</v>
      </c>
      <c r="AH438" s="1363"/>
      <c r="AI438" s="1363"/>
      <c r="AJ438" s="1363"/>
    </row>
    <row r="439" spans="4:36" ht="12.9" customHeight="1">
      <c r="D439" s="1344" t="s">
        <v>2111</v>
      </c>
      <c r="E439" s="1366"/>
      <c r="F439" s="1366"/>
      <c r="G439" s="1366"/>
      <c r="H439" s="1366"/>
      <c r="I439" s="1366"/>
      <c r="J439" s="1366"/>
      <c r="K439" s="1366"/>
      <c r="L439" s="1366"/>
      <c r="M439" s="1366"/>
      <c r="N439" s="1366"/>
      <c r="O439" s="1366"/>
      <c r="P439" s="1366"/>
      <c r="Q439" s="1366"/>
      <c r="R439" s="1366"/>
      <c r="S439" s="1366"/>
      <c r="T439" s="1366"/>
      <c r="U439" s="1366"/>
      <c r="V439" s="1366"/>
      <c r="W439" s="1366"/>
      <c r="X439" s="1366"/>
      <c r="Y439" s="1366"/>
      <c r="Z439" s="1366"/>
      <c r="AA439" s="1366"/>
      <c r="AB439" s="1366"/>
      <c r="AC439" s="1366"/>
      <c r="AD439" s="1366"/>
      <c r="AE439" s="1366"/>
      <c r="AF439" s="1367"/>
      <c r="AG439" s="1179">
        <v>0</v>
      </c>
      <c r="AH439" s="1179"/>
      <c r="AI439" s="1179"/>
      <c r="AJ439" s="1179"/>
    </row>
    <row r="440" spans="4:36" ht="12.9" customHeight="1">
      <c r="D440" s="1169" t="s">
        <v>208</v>
      </c>
      <c r="E440" s="1170"/>
      <c r="F440" s="1170"/>
      <c r="G440" s="1170"/>
      <c r="H440" s="1170"/>
      <c r="I440" s="1170"/>
      <c r="J440" s="1170"/>
      <c r="K440" s="1170"/>
      <c r="L440" s="1170"/>
      <c r="M440" s="1170"/>
      <c r="N440" s="1170"/>
      <c r="O440" s="1170"/>
      <c r="P440" s="1170"/>
      <c r="Q440" s="1170"/>
      <c r="R440" s="1170"/>
      <c r="S440" s="1170"/>
      <c r="T440" s="1170"/>
      <c r="U440" s="1170"/>
      <c r="V440" s="1170"/>
      <c r="W440" s="1170"/>
      <c r="X440" s="1170"/>
      <c r="Y440" s="1170"/>
      <c r="Z440" s="1170"/>
      <c r="AA440" s="1170"/>
      <c r="AB440" s="1170"/>
      <c r="AC440" s="1170"/>
      <c r="AD440" s="1170"/>
      <c r="AE440" s="1170"/>
      <c r="AF440" s="1171"/>
      <c r="AG440" s="1179">
        <v>0</v>
      </c>
      <c r="AH440" s="1179"/>
      <c r="AI440" s="1179"/>
      <c r="AJ440" s="1179"/>
    </row>
    <row r="441" spans="4:36" ht="12.9" customHeight="1">
      <c r="D441" s="1344" t="s">
        <v>1736</v>
      </c>
      <c r="E441" s="1170"/>
      <c r="F441" s="1170"/>
      <c r="G441" s="1170"/>
      <c r="H441" s="1170"/>
      <c r="I441" s="1170"/>
      <c r="J441" s="1170"/>
      <c r="K441" s="1170"/>
      <c r="L441" s="1170"/>
      <c r="M441" s="1170"/>
      <c r="N441" s="1170"/>
      <c r="O441" s="1170"/>
      <c r="P441" s="1170"/>
      <c r="Q441" s="1170"/>
      <c r="R441" s="1170"/>
      <c r="S441" s="1170"/>
      <c r="T441" s="1170"/>
      <c r="U441" s="1170"/>
      <c r="V441" s="1170"/>
      <c r="W441" s="1170"/>
      <c r="X441" s="1170"/>
      <c r="Y441" s="1170"/>
      <c r="Z441" s="1170"/>
      <c r="AA441" s="1170"/>
      <c r="AB441" s="1170"/>
      <c r="AC441" s="1170"/>
      <c r="AD441" s="1170"/>
      <c r="AE441" s="1170"/>
      <c r="AF441" s="1171"/>
      <c r="AG441" s="1179">
        <v>2941</v>
      </c>
      <c r="AH441" s="1179"/>
      <c r="AI441" s="1179"/>
      <c r="AJ441" s="1179"/>
    </row>
    <row r="442" spans="4:36" ht="12.9" customHeight="1">
      <c r="D442" s="1169" t="s">
        <v>1372</v>
      </c>
      <c r="E442" s="1170"/>
      <c r="F442" s="1170"/>
      <c r="G442" s="1170"/>
      <c r="H442" s="1170"/>
      <c r="I442" s="1170"/>
      <c r="J442" s="1170"/>
      <c r="K442" s="1170"/>
      <c r="L442" s="1170"/>
      <c r="M442" s="1170"/>
      <c r="N442" s="1170"/>
      <c r="O442" s="1170"/>
      <c r="P442" s="1170"/>
      <c r="Q442" s="1170"/>
      <c r="R442" s="1170"/>
      <c r="S442" s="1170"/>
      <c r="T442" s="1170"/>
      <c r="U442" s="1170"/>
      <c r="V442" s="1170"/>
      <c r="W442" s="1170"/>
      <c r="X442" s="1170"/>
      <c r="Y442" s="1170"/>
      <c r="Z442" s="1170"/>
      <c r="AA442" s="1170"/>
      <c r="AB442" s="1170"/>
      <c r="AC442" s="1170"/>
      <c r="AD442" s="1170"/>
      <c r="AE442" s="1170"/>
      <c r="AF442" s="1171"/>
      <c r="AG442" s="1179">
        <v>0</v>
      </c>
      <c r="AH442" s="1179"/>
      <c r="AI442" s="1179"/>
      <c r="AJ442" s="1179"/>
    </row>
    <row r="443" spans="4:36" ht="12.9" customHeight="1">
      <c r="D443" s="1169" t="s">
        <v>1374</v>
      </c>
      <c r="E443" s="1170"/>
      <c r="F443" s="1170"/>
      <c r="G443" s="1170"/>
      <c r="H443" s="1170"/>
      <c r="I443" s="1170"/>
      <c r="J443" s="1170"/>
      <c r="K443" s="1170"/>
      <c r="L443" s="1170"/>
      <c r="M443" s="1170"/>
      <c r="N443" s="1170"/>
      <c r="O443" s="1170"/>
      <c r="P443" s="1170"/>
      <c r="Q443" s="1170"/>
      <c r="R443" s="1170"/>
      <c r="S443" s="1170"/>
      <c r="T443" s="1170"/>
      <c r="U443" s="1170"/>
      <c r="V443" s="1170"/>
      <c r="W443" s="1170"/>
      <c r="X443" s="1170"/>
      <c r="Y443" s="1170"/>
      <c r="Z443" s="1170"/>
      <c r="AA443" s="1170"/>
      <c r="AB443" s="1170"/>
      <c r="AC443" s="1170"/>
      <c r="AD443" s="1170"/>
      <c r="AE443" s="1170"/>
      <c r="AF443" s="1171"/>
      <c r="AG443" s="1381">
        <f>AG435+AG439+AG441+AG442</f>
        <v>63007</v>
      </c>
      <c r="AH443" s="1381"/>
      <c r="AI443" s="1381"/>
      <c r="AJ443" s="1381"/>
    </row>
    <row r="444" spans="4:36" ht="12.9" customHeight="1">
      <c r="D444" s="1386" t="s">
        <v>1737</v>
      </c>
      <c r="E444" s="1386"/>
      <c r="F444" s="1386"/>
      <c r="G444" s="1386"/>
      <c r="H444" s="1386"/>
      <c r="I444" s="1386"/>
      <c r="J444" s="1386"/>
      <c r="K444" s="1386"/>
      <c r="L444" s="1386"/>
      <c r="M444" s="1386"/>
      <c r="N444" s="1386"/>
      <c r="O444" s="1386"/>
      <c r="P444" s="1386"/>
      <c r="Q444" s="1386"/>
      <c r="R444" s="1386"/>
      <c r="S444" s="1386"/>
      <c r="T444" s="1386"/>
      <c r="U444" s="1386"/>
      <c r="V444" s="1386"/>
      <c r="W444" s="1386"/>
      <c r="X444" s="1386"/>
      <c r="Y444" s="1386"/>
      <c r="Z444" s="1386"/>
      <c r="AA444" s="1386"/>
      <c r="AB444" s="1386"/>
      <c r="AC444" s="1386"/>
      <c r="AD444" s="1386"/>
      <c r="AE444" s="1386"/>
      <c r="AF444" s="1386"/>
      <c r="AG444" s="1386"/>
      <c r="AH444" s="1386"/>
      <c r="AI444" s="1386"/>
      <c r="AJ444" s="1386"/>
    </row>
    <row r="445" spans="4:36" ht="12.9" customHeight="1">
      <c r="D445" s="1387"/>
      <c r="E445" s="1387"/>
      <c r="F445" s="1387"/>
      <c r="G445" s="1387"/>
      <c r="H445" s="1387"/>
      <c r="I445" s="1387"/>
      <c r="J445" s="1387"/>
      <c r="K445" s="1387"/>
      <c r="L445" s="1387"/>
      <c r="M445" s="1387"/>
      <c r="N445" s="1387"/>
      <c r="O445" s="1387"/>
      <c r="P445" s="1387"/>
      <c r="Q445" s="1387"/>
      <c r="R445" s="1387"/>
      <c r="S445" s="1387"/>
      <c r="T445" s="1387"/>
      <c r="U445" s="1387"/>
      <c r="V445" s="1387"/>
      <c r="W445" s="1387"/>
      <c r="X445" s="1387"/>
      <c r="Y445" s="1387"/>
      <c r="Z445" s="1387"/>
      <c r="AA445" s="1387"/>
      <c r="AB445" s="1387"/>
      <c r="AC445" s="1387"/>
      <c r="AD445" s="1387"/>
      <c r="AE445" s="1387"/>
      <c r="AF445" s="1387"/>
      <c r="AG445" s="1387"/>
      <c r="AH445" s="1387"/>
      <c r="AI445" s="1387"/>
      <c r="AJ445" s="1387"/>
    </row>
    <row r="446" spans="4:36" ht="12.9" customHeight="1">
      <c r="D446" s="1395"/>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5"/>
      <c r="AG446" s="1395"/>
      <c r="AH446" s="1395"/>
      <c r="AI446" s="1395"/>
      <c r="AJ446" s="1395"/>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65">
        <f>IF(AG430=0,"",'Sources and Uses Budget'!B104/Application!AG430)</f>
        <v>499457.296875</v>
      </c>
      <c r="AD447" s="1365"/>
      <c r="AE447" s="1365"/>
      <c r="AF447" s="1365"/>
      <c r="AG447" s="1394"/>
      <c r="AH447" s="1394"/>
      <c r="AI447" s="1394"/>
      <c r="AJ447" s="1394"/>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65">
        <f>IF(AG430=0,"",'Sources and Uses Budget'!C104/Application!AG430)</f>
        <v>499457.296875</v>
      </c>
      <c r="AD448" s="1365"/>
      <c r="AE448" s="1365"/>
      <c r="AF448" s="1365"/>
      <c r="AG448" s="1394"/>
      <c r="AH448" s="1394"/>
      <c r="AI448" s="1394"/>
      <c r="AJ448" s="1394"/>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65">
        <f>IF(AG430=0,"",('Sources and Uses Budget'!S106+'Sources and Uses Budget'!T106)/Application!AG430)</f>
        <v>483647.953125</v>
      </c>
      <c r="AD449" s="1365"/>
      <c r="AE449" s="1365"/>
      <c r="AF449" s="1365"/>
      <c r="AG449" s="362"/>
      <c r="AH449" s="362"/>
      <c r="AI449" s="362"/>
      <c r="AJ449" s="362"/>
    </row>
    <row r="450" spans="1:38" ht="12.9" customHeight="1">
      <c r="D450" s="373"/>
      <c r="E450" s="307"/>
      <c r="F450" s="1167" t="str">
        <f>IF(AG430=0,"",IF(AC447&gt;650000,"Please provide a justification of cost per unit in Tab 12 for all projects with per unit costs of greater than $650,000.",""))</f>
        <v/>
      </c>
      <c r="G450" s="1167"/>
      <c r="H450" s="1167"/>
      <c r="I450" s="1167"/>
      <c r="J450" s="1167"/>
      <c r="K450" s="1167"/>
      <c r="L450" s="1167"/>
      <c r="M450" s="1167"/>
      <c r="N450" s="1167"/>
      <c r="O450" s="1167"/>
      <c r="P450" s="1167"/>
      <c r="Q450" s="1167"/>
      <c r="R450" s="1167"/>
      <c r="S450" s="1167"/>
      <c r="T450" s="1167"/>
      <c r="U450" s="1167"/>
      <c r="V450" s="1167"/>
      <c r="W450" s="1167"/>
      <c r="X450" s="1167"/>
      <c r="Y450" s="1167"/>
      <c r="Z450" s="1167"/>
      <c r="AA450" s="1167"/>
      <c r="AB450" s="1167"/>
      <c r="AC450" s="293"/>
      <c r="AD450" s="293"/>
      <c r="AE450" s="293"/>
      <c r="AF450" s="293"/>
      <c r="AG450" s="362"/>
      <c r="AH450" s="362"/>
      <c r="AI450" s="362"/>
      <c r="AJ450" s="362"/>
    </row>
    <row r="451" spans="1:38" ht="12.9" customHeight="1">
      <c r="D451" s="373"/>
      <c r="E451" s="307"/>
      <c r="F451" s="1167"/>
      <c r="G451" s="1167"/>
      <c r="H451" s="1167"/>
      <c r="I451" s="1167"/>
      <c r="J451" s="1167"/>
      <c r="K451" s="1167"/>
      <c r="L451" s="1167"/>
      <c r="M451" s="1167"/>
      <c r="N451" s="1167"/>
      <c r="O451" s="1167"/>
      <c r="P451" s="1167"/>
      <c r="Q451" s="1167"/>
      <c r="R451" s="1167"/>
      <c r="S451" s="1167"/>
      <c r="T451" s="1167"/>
      <c r="U451" s="1167"/>
      <c r="V451" s="1167"/>
      <c r="W451" s="1167"/>
      <c r="X451" s="1167"/>
      <c r="Y451" s="1167"/>
      <c r="Z451" s="1167"/>
      <c r="AA451" s="1167"/>
      <c r="AB451" s="1167"/>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72" t="s">
        <v>2103</v>
      </c>
      <c r="E460" s="1173"/>
      <c r="F460" s="1173"/>
      <c r="G460" s="1173"/>
      <c r="H460" s="1173"/>
      <c r="I460" s="1173"/>
      <c r="J460" s="1173"/>
      <c r="K460" s="1173"/>
      <c r="L460" s="1173"/>
      <c r="M460" s="1173"/>
      <c r="N460" s="1173"/>
      <c r="O460" s="1173"/>
      <c r="P460" s="1173"/>
      <c r="Q460" s="1173"/>
      <c r="R460" s="1173"/>
      <c r="S460" s="1173"/>
      <c r="T460" s="1173"/>
      <c r="U460" s="1173"/>
      <c r="V460" s="1174"/>
      <c r="W460" s="1181">
        <v>0</v>
      </c>
      <c r="X460" s="1182"/>
      <c r="Y460" s="1183"/>
      <c r="Z460" s="310"/>
      <c r="AA460" s="310"/>
      <c r="AB460" s="310"/>
      <c r="AC460" s="310"/>
      <c r="AD460" s="310"/>
      <c r="AE460" s="310"/>
      <c r="AF460" s="310"/>
      <c r="AG460" s="310"/>
      <c r="AH460" s="310"/>
      <c r="AI460" s="310"/>
      <c r="AJ460" s="41"/>
      <c r="AK460" s="41"/>
      <c r="AL460" s="41"/>
    </row>
    <row r="461" spans="1:38" ht="12.9" customHeight="1">
      <c r="A461" s="41"/>
      <c r="B461" s="41"/>
      <c r="C461" s="41"/>
      <c r="D461" s="1172" t="s">
        <v>213</v>
      </c>
      <c r="E461" s="1173"/>
      <c r="F461" s="1173"/>
      <c r="G461" s="1173"/>
      <c r="H461" s="1173"/>
      <c r="I461" s="1173"/>
      <c r="J461" s="1173"/>
      <c r="K461" s="1173"/>
      <c r="L461" s="1173"/>
      <c r="M461" s="1173"/>
      <c r="N461" s="1173"/>
      <c r="O461" s="1173"/>
      <c r="P461" s="1173"/>
      <c r="Q461" s="1173"/>
      <c r="R461" s="1173"/>
      <c r="S461" s="1173"/>
      <c r="T461" s="1173"/>
      <c r="U461" s="1173"/>
      <c r="V461" s="1174"/>
      <c r="W461" s="1181">
        <v>0</v>
      </c>
      <c r="X461" s="1182"/>
      <c r="Y461" s="1183"/>
      <c r="Z461" s="310"/>
      <c r="AA461" s="310"/>
      <c r="AB461" s="310"/>
      <c r="AC461" s="310"/>
      <c r="AD461" s="310"/>
      <c r="AE461" s="310"/>
      <c r="AF461" s="310"/>
      <c r="AG461" s="310"/>
      <c r="AH461" s="310"/>
      <c r="AI461" s="310"/>
      <c r="AJ461" s="41"/>
      <c r="AK461" s="41"/>
      <c r="AL461" s="41"/>
    </row>
    <row r="462" spans="1:38" ht="12.9" customHeight="1">
      <c r="A462" s="41"/>
      <c r="B462" s="41"/>
      <c r="C462" s="41"/>
      <c r="D462" s="1172" t="s">
        <v>214</v>
      </c>
      <c r="E462" s="1173"/>
      <c r="F462" s="1173"/>
      <c r="G462" s="1173"/>
      <c r="H462" s="1173"/>
      <c r="I462" s="1173"/>
      <c r="J462" s="1173"/>
      <c r="K462" s="1173"/>
      <c r="L462" s="1173"/>
      <c r="M462" s="1173"/>
      <c r="N462" s="1173"/>
      <c r="O462" s="1173"/>
      <c r="P462" s="1173"/>
      <c r="Q462" s="1173"/>
      <c r="R462" s="1173"/>
      <c r="S462" s="1173"/>
      <c r="T462" s="1173"/>
      <c r="U462" s="1173"/>
      <c r="V462" s="1174"/>
      <c r="W462" s="1181">
        <v>0</v>
      </c>
      <c r="X462" s="1182"/>
      <c r="Y462" s="1183"/>
      <c r="Z462" s="310"/>
      <c r="AA462" s="310"/>
      <c r="AB462" s="310"/>
      <c r="AC462" s="310"/>
      <c r="AD462" s="310"/>
      <c r="AE462" s="310"/>
      <c r="AF462" s="310"/>
      <c r="AG462" s="310"/>
      <c r="AH462" s="310"/>
      <c r="AI462" s="310"/>
      <c r="AJ462" s="41"/>
      <c r="AK462" s="41"/>
      <c r="AL462" s="41"/>
    </row>
    <row r="463" spans="1:38" ht="12.9" customHeight="1">
      <c r="A463" s="41"/>
      <c r="B463" s="41"/>
      <c r="C463" s="41"/>
      <c r="D463" s="1172" t="s">
        <v>216</v>
      </c>
      <c r="E463" s="1173"/>
      <c r="F463" s="1173"/>
      <c r="G463" s="1173"/>
      <c r="H463" s="1173"/>
      <c r="I463" s="1173"/>
      <c r="J463" s="1173"/>
      <c r="K463" s="1173"/>
      <c r="L463" s="1173"/>
      <c r="M463" s="1173"/>
      <c r="N463" s="1173"/>
      <c r="O463" s="1173"/>
      <c r="P463" s="1173"/>
      <c r="Q463" s="1173"/>
      <c r="R463" s="1173"/>
      <c r="S463" s="1173"/>
      <c r="T463" s="1173"/>
      <c r="U463" s="1173"/>
      <c r="V463" s="1174"/>
      <c r="W463" s="1181">
        <v>0</v>
      </c>
      <c r="X463" s="1182"/>
      <c r="Y463" s="1183"/>
      <c r="Z463" s="310"/>
      <c r="AA463" s="310"/>
      <c r="AB463" s="310"/>
      <c r="AC463" s="310"/>
      <c r="AD463" s="310"/>
      <c r="AE463" s="310"/>
      <c r="AF463" s="310"/>
      <c r="AG463" s="310"/>
      <c r="AH463" s="310"/>
      <c r="AI463" s="310"/>
      <c r="AJ463" s="41"/>
      <c r="AK463" s="41"/>
      <c r="AL463" s="41"/>
    </row>
    <row r="464" spans="1:38" ht="12.9" customHeight="1">
      <c r="A464" s="41"/>
      <c r="B464" s="41"/>
      <c r="C464" s="41"/>
      <c r="D464" s="1374" t="s">
        <v>1109</v>
      </c>
      <c r="E464" s="1173"/>
      <c r="F464" s="1173"/>
      <c r="G464" s="1173"/>
      <c r="H464" s="1173"/>
      <c r="I464" s="1173"/>
      <c r="J464" s="1173"/>
      <c r="K464" s="1173"/>
      <c r="L464" s="1173"/>
      <c r="M464" s="1173"/>
      <c r="N464" s="1173"/>
      <c r="O464" s="1173"/>
      <c r="P464" s="1173"/>
      <c r="Q464" s="1173"/>
      <c r="R464" s="1173"/>
      <c r="S464" s="1173"/>
      <c r="T464" s="1173"/>
      <c r="U464" s="1173"/>
      <c r="V464" s="1174"/>
      <c r="W464" s="1181">
        <v>0</v>
      </c>
      <c r="X464" s="1182"/>
      <c r="Y464" s="1183"/>
      <c r="Z464" s="310"/>
      <c r="AA464" s="310"/>
      <c r="AB464" s="310"/>
      <c r="AC464" s="310"/>
      <c r="AD464" s="310"/>
      <c r="AE464" s="310"/>
      <c r="AF464" s="310"/>
      <c r="AG464" s="310"/>
      <c r="AH464" s="310"/>
      <c r="AI464" s="310"/>
      <c r="AJ464" s="41"/>
      <c r="AK464" s="41"/>
      <c r="AL464" s="41"/>
    </row>
    <row r="465" spans="1:97" ht="12.9" customHeight="1">
      <c r="A465" s="41"/>
      <c r="B465" s="41"/>
      <c r="C465" s="41"/>
      <c r="D465" s="1172" t="s">
        <v>220</v>
      </c>
      <c r="E465" s="1173"/>
      <c r="F465" s="1173"/>
      <c r="G465" s="1173"/>
      <c r="H465" s="1173"/>
      <c r="I465" s="1173"/>
      <c r="J465" s="1173"/>
      <c r="K465" s="1173"/>
      <c r="L465" s="1173"/>
      <c r="M465" s="1173"/>
      <c r="N465" s="1173"/>
      <c r="O465" s="1173"/>
      <c r="P465" s="1173"/>
      <c r="Q465" s="1173"/>
      <c r="R465" s="1173"/>
      <c r="S465" s="1173"/>
      <c r="T465" s="1173"/>
      <c r="U465" s="1173"/>
      <c r="V465" s="1174"/>
      <c r="W465" s="1181">
        <v>0</v>
      </c>
      <c r="X465" s="1182"/>
      <c r="Y465" s="1183"/>
      <c r="Z465" s="310"/>
      <c r="AA465" s="310"/>
      <c r="AB465" s="310"/>
      <c r="AC465" s="310"/>
      <c r="AD465" s="310"/>
      <c r="AE465" s="310"/>
      <c r="AF465" s="310"/>
      <c r="AG465" s="310"/>
      <c r="AH465" s="310"/>
      <c r="AI465" s="310"/>
      <c r="AJ465" s="41"/>
      <c r="AK465" s="41"/>
      <c r="AL465" s="41"/>
    </row>
    <row r="466" spans="1:97" ht="12.9" customHeight="1">
      <c r="A466" s="557"/>
      <c r="B466" s="557"/>
      <c r="C466" s="557"/>
      <c r="D466" s="1374" t="s">
        <v>1308</v>
      </c>
      <c r="E466" s="1196"/>
      <c r="F466" s="1196"/>
      <c r="G466" s="1196"/>
      <c r="H466" s="1196"/>
      <c r="I466" s="1196"/>
      <c r="J466" s="1196"/>
      <c r="K466" s="1196"/>
      <c r="L466" s="1196"/>
      <c r="M466" s="1196"/>
      <c r="N466" s="1196"/>
      <c r="O466" s="1196"/>
      <c r="P466" s="1196"/>
      <c r="Q466" s="1196"/>
      <c r="R466" s="1196"/>
      <c r="S466" s="1196"/>
      <c r="T466" s="1196"/>
      <c r="U466" s="1196"/>
      <c r="V466" s="1197"/>
      <c r="W466" s="1198">
        <v>0</v>
      </c>
      <c r="X466" s="1199"/>
      <c r="Y466" s="1200"/>
      <c r="Z466" s="558"/>
      <c r="AA466" s="558"/>
      <c r="AB466" s="558"/>
      <c r="AC466" s="558"/>
      <c r="AD466" s="559"/>
      <c r="AE466" s="559"/>
      <c r="AF466" s="559"/>
      <c r="AG466" s="559"/>
      <c r="AH466" s="559"/>
      <c r="AI466" s="559"/>
      <c r="AJ466" s="362"/>
    </row>
    <row r="467" spans="1:97" ht="12.9" customHeight="1">
      <c r="A467" s="557"/>
      <c r="B467" s="557"/>
      <c r="C467" s="557"/>
      <c r="D467" s="1172" t="s">
        <v>2282</v>
      </c>
      <c r="E467" s="1173"/>
      <c r="F467" s="1173"/>
      <c r="G467" s="1173"/>
      <c r="H467" s="1173"/>
      <c r="I467" s="1173"/>
      <c r="J467" s="1173"/>
      <c r="K467" s="1173"/>
      <c r="L467" s="1173"/>
      <c r="M467" s="1173"/>
      <c r="N467" s="1173"/>
      <c r="O467" s="1173"/>
      <c r="P467" s="1173"/>
      <c r="Q467" s="1173"/>
      <c r="R467" s="1173"/>
      <c r="S467" s="1173"/>
      <c r="T467" s="1173"/>
      <c r="U467" s="1173"/>
      <c r="V467" s="1174"/>
      <c r="W467" s="1198">
        <v>0</v>
      </c>
      <c r="X467" s="1199"/>
      <c r="Y467" s="1200"/>
      <c r="Z467" s="558"/>
      <c r="AA467" s="558"/>
      <c r="AB467" s="558"/>
      <c r="AC467" s="558"/>
      <c r="AD467" s="559"/>
      <c r="AE467" s="559"/>
      <c r="AF467" s="559"/>
      <c r="AG467" s="559"/>
      <c r="AH467" s="559"/>
      <c r="AI467" s="559"/>
      <c r="AJ467" s="362"/>
    </row>
    <row r="468" spans="1:97" ht="12.9" customHeight="1">
      <c r="A468" s="41"/>
      <c r="B468" s="41"/>
      <c r="C468" s="41"/>
      <c r="D468" s="1172" t="s">
        <v>2216</v>
      </c>
      <c r="E468" s="1196"/>
      <c r="F468" s="1196"/>
      <c r="G468" s="1196"/>
      <c r="H468" s="1196"/>
      <c r="I468" s="1196"/>
      <c r="J468" s="1196"/>
      <c r="K468" s="1196"/>
      <c r="L468" s="1196"/>
      <c r="M468" s="1196"/>
      <c r="N468" s="1196"/>
      <c r="O468" s="1196"/>
      <c r="P468" s="1196"/>
      <c r="Q468" s="1196"/>
      <c r="R468" s="1196"/>
      <c r="S468" s="1196"/>
      <c r="T468" s="1196"/>
      <c r="U468" s="1196"/>
      <c r="V468" s="1197"/>
      <c r="W468" s="1198">
        <v>0</v>
      </c>
      <c r="X468" s="1199"/>
      <c r="Y468" s="1200"/>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89"/>
      <c r="H469" s="1590"/>
      <c r="I469" s="1590"/>
      <c r="J469" s="1590"/>
      <c r="K469" s="1590"/>
      <c r="L469" s="1590"/>
      <c r="M469" s="1590"/>
      <c r="N469" s="1590"/>
      <c r="O469" s="1590"/>
      <c r="P469" s="1590"/>
      <c r="Q469" s="1590"/>
      <c r="R469" s="1590"/>
      <c r="S469" s="1590"/>
      <c r="T469" s="1590"/>
      <c r="U469" s="1590"/>
      <c r="V469" s="1591"/>
      <c r="W469" s="1181">
        <v>0</v>
      </c>
      <c r="X469" s="1182"/>
      <c r="Y469" s="1183"/>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201"/>
      <c r="E471" s="1201"/>
      <c r="F471" s="1201"/>
      <c r="G471" s="1201"/>
      <c r="H471" s="1201"/>
      <c r="I471" s="1201"/>
      <c r="J471" s="1201"/>
      <c r="K471" s="1201"/>
      <c r="L471" s="1201"/>
      <c r="M471" s="1201"/>
      <c r="N471" s="1201"/>
      <c r="O471" s="1201"/>
      <c r="P471" s="1201"/>
      <c r="Q471" s="1201"/>
      <c r="R471" s="1201"/>
      <c r="S471" s="1201"/>
      <c r="T471" s="1201"/>
      <c r="U471" s="1201"/>
      <c r="V471" s="1201"/>
      <c r="W471" s="1201"/>
      <c r="X471" s="1201"/>
      <c r="Y471" s="1201"/>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202"/>
      <c r="E472" s="1202"/>
      <c r="F472" s="1202"/>
      <c r="G472" s="1202"/>
      <c r="H472" s="1202"/>
      <c r="I472" s="1202"/>
      <c r="J472" s="1202"/>
      <c r="K472" s="1202"/>
      <c r="L472" s="1202"/>
      <c r="M472" s="1202"/>
      <c r="N472" s="1202"/>
      <c r="O472" s="1202"/>
      <c r="P472" s="1202"/>
      <c r="Q472" s="1202"/>
      <c r="R472" s="1202"/>
      <c r="S472" s="1202"/>
      <c r="T472" s="1202"/>
      <c r="U472" s="1202"/>
      <c r="V472" s="1202"/>
      <c r="W472" s="1202"/>
      <c r="X472" s="1202"/>
      <c r="Y472" s="1202"/>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202"/>
      <c r="E473" s="1202"/>
      <c r="F473" s="1202"/>
      <c r="G473" s="1202"/>
      <c r="H473" s="1202"/>
      <c r="I473" s="1202"/>
      <c r="J473" s="1202"/>
      <c r="K473" s="1202"/>
      <c r="L473" s="1202"/>
      <c r="M473" s="1202"/>
      <c r="N473" s="1202"/>
      <c r="O473" s="1202"/>
      <c r="P473" s="1202"/>
      <c r="Q473" s="1202"/>
      <c r="R473" s="1202"/>
      <c r="S473" s="1202"/>
      <c r="T473" s="1202"/>
      <c r="U473" s="1202"/>
      <c r="V473" s="1202"/>
      <c r="W473" s="1202"/>
      <c r="X473" s="1202"/>
      <c r="Y473" s="1202"/>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160" t="s">
        <v>1028</v>
      </c>
      <c r="B476" s="1160"/>
      <c r="C476" s="1160"/>
      <c r="D476" s="1160"/>
      <c r="E476" s="1160"/>
      <c r="F476" s="1160"/>
      <c r="G476" s="1160"/>
      <c r="H476" s="1160"/>
      <c r="I476" s="1160"/>
      <c r="J476" s="1160"/>
      <c r="K476" s="1160"/>
      <c r="L476" s="1160"/>
      <c r="M476" s="1160"/>
      <c r="N476" s="1160"/>
      <c r="O476" s="1160"/>
      <c r="P476" s="1160"/>
      <c r="Q476" s="1160"/>
      <c r="R476" s="1160"/>
      <c r="S476" s="1160"/>
      <c r="T476" s="1160"/>
      <c r="U476" s="1160"/>
      <c r="V476" s="1160"/>
      <c r="W476" s="1160"/>
      <c r="X476" s="1160"/>
      <c r="Y476" s="1160"/>
      <c r="Z476" s="1160"/>
      <c r="AA476" s="1160"/>
      <c r="AB476" s="1160"/>
      <c r="AC476" s="1160"/>
      <c r="AD476" s="1160"/>
      <c r="AE476" s="1160"/>
      <c r="AF476" s="1160"/>
      <c r="AG476" s="1160"/>
      <c r="AH476" s="1160"/>
      <c r="AI476" s="1160"/>
      <c r="AJ476" s="1160"/>
      <c r="AK476" s="1160"/>
      <c r="AL476" s="1160"/>
      <c r="AM476" s="1160"/>
      <c r="AN476" s="1160"/>
      <c r="AO476" s="1160"/>
      <c r="AP476" s="1160"/>
      <c r="AQ476" s="1160"/>
      <c r="AR476" s="1160"/>
      <c r="AS476" s="1160"/>
      <c r="AT476" s="1160"/>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160"/>
      <c r="B477" s="1160"/>
      <c r="C477" s="1160"/>
      <c r="D477" s="1160"/>
      <c r="E477" s="1160"/>
      <c r="F477" s="1160"/>
      <c r="G477" s="1160"/>
      <c r="H477" s="1160"/>
      <c r="I477" s="1160"/>
      <c r="J477" s="1160"/>
      <c r="K477" s="1160"/>
      <c r="L477" s="1160"/>
      <c r="M477" s="1160"/>
      <c r="N477" s="1160"/>
      <c r="O477" s="1160"/>
      <c r="P477" s="1160"/>
      <c r="Q477" s="1160"/>
      <c r="R477" s="1160"/>
      <c r="S477" s="1160"/>
      <c r="T477" s="1160"/>
      <c r="U477" s="1160"/>
      <c r="V477" s="1160"/>
      <c r="W477" s="1160"/>
      <c r="X477" s="1160"/>
      <c r="Y477" s="1160"/>
      <c r="Z477" s="1160"/>
      <c r="AA477" s="1160"/>
      <c r="AB477" s="1160"/>
      <c r="AC477" s="1160"/>
      <c r="AD477" s="1160"/>
      <c r="AE477" s="1160"/>
      <c r="AF477" s="1160"/>
      <c r="AG477" s="1160"/>
      <c r="AH477" s="1160"/>
      <c r="AI477" s="1160"/>
      <c r="AJ477" s="1160"/>
      <c r="AK477" s="1160"/>
      <c r="AL477" s="1160"/>
      <c r="AM477" s="1160"/>
      <c r="AN477" s="1160"/>
      <c r="AO477" s="1160"/>
      <c r="AP477" s="1160"/>
      <c r="AQ477" s="1160"/>
      <c r="AR477" s="1160"/>
      <c r="AS477" s="1160"/>
      <c r="AT477" s="1160"/>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75" t="s">
        <v>238</v>
      </c>
      <c r="R481" s="1376"/>
      <c r="S481" s="1376"/>
      <c r="T481" s="1376"/>
      <c r="U481" s="1376"/>
      <c r="V481" s="1376"/>
      <c r="W481" s="1376"/>
      <c r="X481" s="1376"/>
      <c r="Y481" s="1376"/>
      <c r="Z481" s="1376"/>
      <c r="AA481" s="1376"/>
      <c r="AB481" s="1376"/>
      <c r="AC481" s="1376"/>
      <c r="AD481" s="1376"/>
      <c r="AE481" s="1376"/>
      <c r="AF481" s="1376"/>
      <c r="AG481" s="1376"/>
      <c r="AH481" s="1376"/>
      <c r="AI481" s="1376"/>
      <c r="AJ481" s="1376"/>
      <c r="AK481" s="138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61">
        <v>0</v>
      </c>
      <c r="R482" s="1130"/>
      <c r="S482" s="1130"/>
      <c r="T482" s="1130"/>
      <c r="U482" s="1130"/>
      <c r="V482" s="1130"/>
      <c r="W482" s="1130"/>
      <c r="X482" s="1130"/>
      <c r="Y482" s="1130"/>
      <c r="Z482" s="1130"/>
      <c r="AA482" s="1130"/>
      <c r="AB482" s="1130"/>
      <c r="AC482" s="1130"/>
      <c r="AD482" s="1130"/>
      <c r="AE482" s="1130"/>
      <c r="AF482" s="1130"/>
      <c r="AG482" s="1130"/>
      <c r="AH482" s="1130"/>
      <c r="AI482" s="1130"/>
      <c r="AJ482" s="1130"/>
      <c r="AK482" s="136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61">
        <v>21.9</v>
      </c>
      <c r="R483" s="1130"/>
      <c r="S483" s="1130"/>
      <c r="T483" s="1130"/>
      <c r="U483" s="1130"/>
      <c r="V483" s="1130"/>
      <c r="W483" s="1130"/>
      <c r="X483" s="1130"/>
      <c r="Y483" s="1130"/>
      <c r="Z483" s="1130"/>
      <c r="AA483" s="1130"/>
      <c r="AB483" s="1130"/>
      <c r="AC483" s="1130"/>
      <c r="AD483" s="1130"/>
      <c r="AE483" s="1130"/>
      <c r="AF483" s="1130"/>
      <c r="AG483" s="1130"/>
      <c r="AH483" s="1130"/>
      <c r="AI483" s="1130"/>
      <c r="AJ483" s="1130"/>
      <c r="AK483" s="136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61">
        <v>21.9</v>
      </c>
      <c r="R484" s="1130"/>
      <c r="S484" s="1130"/>
      <c r="T484" s="1130"/>
      <c r="U484" s="1130"/>
      <c r="V484" s="1130"/>
      <c r="W484" s="1130"/>
      <c r="X484" s="1130"/>
      <c r="Y484" s="1130"/>
      <c r="Z484" s="1130"/>
      <c r="AA484" s="1130"/>
      <c r="AB484" s="1130"/>
      <c r="AC484" s="1130"/>
      <c r="AD484" s="1130"/>
      <c r="AE484" s="1130"/>
      <c r="AF484" s="1130"/>
      <c r="AG484" s="1130"/>
      <c r="AH484" s="1130"/>
      <c r="AI484" s="1130"/>
      <c r="AJ484" s="1130"/>
      <c r="AK484" s="136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68" t="s">
        <v>242</v>
      </c>
      <c r="C485" s="1369"/>
      <c r="D485" s="1369"/>
      <c r="E485" s="1369"/>
      <c r="F485" s="1369"/>
      <c r="G485" s="1369"/>
      <c r="H485" s="1369"/>
      <c r="I485" s="1369"/>
      <c r="J485" s="1369"/>
      <c r="K485" s="1369"/>
      <c r="L485" s="1369"/>
      <c r="M485" s="1369"/>
      <c r="N485" s="1369"/>
      <c r="O485" s="1369"/>
      <c r="P485" s="1370"/>
      <c r="Q485" s="1348" t="s">
        <v>482</v>
      </c>
      <c r="R485" s="1349"/>
      <c r="S485" s="1352" t="s">
        <v>53</v>
      </c>
      <c r="T485" s="1353"/>
      <c r="U485" s="1353"/>
      <c r="V485" s="1353"/>
      <c r="W485" s="1353"/>
      <c r="X485" s="1353"/>
      <c r="Y485" s="1353"/>
      <c r="Z485" s="1353"/>
      <c r="AA485" s="1353"/>
      <c r="AB485" s="1353"/>
      <c r="AC485" s="1353"/>
      <c r="AD485" s="1353"/>
      <c r="AE485" s="1353"/>
      <c r="AF485" s="1353"/>
      <c r="AG485" s="1353"/>
      <c r="AH485" s="1353"/>
      <c r="AI485" s="1353"/>
      <c r="AJ485" s="1353"/>
      <c r="AK485" s="135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71"/>
      <c r="C486" s="1372"/>
      <c r="D486" s="1372"/>
      <c r="E486" s="1372"/>
      <c r="F486" s="1372"/>
      <c r="G486" s="1372"/>
      <c r="H486" s="1372"/>
      <c r="I486" s="1372"/>
      <c r="J486" s="1372"/>
      <c r="K486" s="1372"/>
      <c r="L486" s="1372"/>
      <c r="M486" s="1372"/>
      <c r="N486" s="1372"/>
      <c r="O486" s="1372"/>
      <c r="P486" s="1373"/>
      <c r="Q486" s="1350"/>
      <c r="R486" s="1351"/>
      <c r="S486" s="1355"/>
      <c r="T486" s="1356"/>
      <c r="U486" s="1356"/>
      <c r="V486" s="1356"/>
      <c r="W486" s="1356"/>
      <c r="X486" s="1356"/>
      <c r="Y486" s="1356"/>
      <c r="Z486" s="1356"/>
      <c r="AA486" s="1356"/>
      <c r="AB486" s="1356"/>
      <c r="AC486" s="1356"/>
      <c r="AD486" s="1356"/>
      <c r="AE486" s="1356"/>
      <c r="AF486" s="1356"/>
      <c r="AG486" s="1356"/>
      <c r="AH486" s="1356"/>
      <c r="AI486" s="1356"/>
      <c r="AJ486" s="1356"/>
      <c r="AK486" s="135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358"/>
      <c r="R487" s="1359"/>
      <c r="S487" s="1359"/>
      <c r="T487" s="1359"/>
      <c r="U487" s="1359"/>
      <c r="V487" s="1359"/>
      <c r="W487" s="1359"/>
      <c r="X487" s="1359"/>
      <c r="Y487" s="1359"/>
      <c r="Z487" s="1359"/>
      <c r="AA487" s="1359"/>
      <c r="AB487" s="1359"/>
      <c r="AC487" s="1359"/>
      <c r="AD487" s="1359"/>
      <c r="AE487" s="1359"/>
      <c r="AF487" s="1359"/>
      <c r="AG487" s="1359"/>
      <c r="AH487" s="1359"/>
      <c r="AI487" s="1359"/>
      <c r="AJ487" s="1359"/>
      <c r="AK487" s="136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418" t="s">
        <v>124</v>
      </c>
      <c r="R488" s="1130"/>
      <c r="S488" s="1130"/>
      <c r="T488" s="1130"/>
      <c r="U488" s="1130"/>
      <c r="V488" s="1130"/>
      <c r="W488" s="1130"/>
      <c r="X488" s="1130"/>
      <c r="Y488" s="1130"/>
      <c r="Z488" s="1130"/>
      <c r="AA488" s="1130"/>
      <c r="AB488" s="1130"/>
      <c r="AC488" s="1130"/>
      <c r="AD488" s="1130"/>
      <c r="AE488" s="1130"/>
      <c r="AF488" s="1130"/>
      <c r="AG488" s="1130"/>
      <c r="AH488" s="1130"/>
      <c r="AI488" s="1130"/>
      <c r="AJ488" s="1130"/>
      <c r="AK488" s="136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61">
        <v>0</v>
      </c>
      <c r="R489" s="1130"/>
      <c r="S489" s="1130"/>
      <c r="T489" s="1130"/>
      <c r="U489" s="1130"/>
      <c r="V489" s="1130"/>
      <c r="W489" s="1130"/>
      <c r="X489" s="1130"/>
      <c r="Y489" s="1130"/>
      <c r="Z489" s="1130"/>
      <c r="AA489" s="1130"/>
      <c r="AB489" s="1130"/>
      <c r="AC489" s="1130"/>
      <c r="AD489" s="1130"/>
      <c r="AE489" s="1130"/>
      <c r="AF489" s="1130"/>
      <c r="AG489" s="1130"/>
      <c r="AH489" s="1130"/>
      <c r="AI489" s="1130"/>
      <c r="AJ489" s="1130"/>
      <c r="AK489" s="136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61">
        <v>126</v>
      </c>
      <c r="R490" s="1130"/>
      <c r="S490" s="1130"/>
      <c r="T490" s="1130"/>
      <c r="U490" s="1130"/>
      <c r="V490" s="1130"/>
      <c r="W490" s="1130"/>
      <c r="X490" s="1130"/>
      <c r="Y490" s="1130"/>
      <c r="Z490" s="1130"/>
      <c r="AA490" s="1130"/>
      <c r="AB490" s="1130"/>
      <c r="AC490" s="1130"/>
      <c r="AD490" s="1130"/>
      <c r="AE490" s="1130"/>
      <c r="AF490" s="1130"/>
      <c r="AG490" s="1130"/>
      <c r="AH490" s="1130"/>
      <c r="AI490" s="1130"/>
      <c r="AJ490" s="1130"/>
      <c r="AK490" s="136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087"/>
      <c r="N491" s="1088"/>
      <c r="O491" s="1088"/>
      <c r="P491" s="1089"/>
      <c r="Q491" s="214" t="s">
        <v>1984</v>
      </c>
      <c r="R491" s="9"/>
      <c r="S491" s="9"/>
      <c r="T491" s="9"/>
      <c r="U491" s="9"/>
      <c r="V491" s="9"/>
      <c r="W491" s="9"/>
      <c r="X491" s="9"/>
      <c r="Y491" s="9"/>
      <c r="Z491" s="9"/>
      <c r="AA491" s="9"/>
      <c r="AB491" s="9"/>
      <c r="AC491" s="9"/>
      <c r="AD491" s="9"/>
      <c r="AE491" s="9"/>
      <c r="AF491" s="9"/>
      <c r="AG491" s="9"/>
      <c r="AH491" s="1087">
        <v>126</v>
      </c>
      <c r="AI491" s="1088"/>
      <c r="AJ491" s="1088"/>
      <c r="AK491" s="108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75" t="s">
        <v>246</v>
      </c>
      <c r="AD495" s="1376"/>
      <c r="AE495" s="1376"/>
      <c r="AF495" s="1376"/>
      <c r="AG495" s="1376"/>
      <c r="AH495" s="1376"/>
      <c r="AI495" s="1376"/>
      <c r="AJ495" s="1376"/>
      <c r="AK495" s="138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75" t="s">
        <v>247</v>
      </c>
      <c r="AD496" s="1376"/>
      <c r="AE496" s="1376"/>
      <c r="AF496" s="1376"/>
      <c r="AG496" s="56" t="s">
        <v>248</v>
      </c>
      <c r="AH496" s="1376" t="s">
        <v>249</v>
      </c>
      <c r="AI496" s="1376"/>
      <c r="AJ496" s="1376"/>
      <c r="AK496" s="138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34" t="s">
        <v>250</v>
      </c>
      <c r="C497" s="1335"/>
      <c r="D497" s="1335"/>
      <c r="E497" s="1335"/>
      <c r="F497" s="1335"/>
      <c r="G497" s="1335"/>
      <c r="H497" s="1336"/>
      <c r="I497" s="7" t="s">
        <v>671</v>
      </c>
      <c r="J497" s="7"/>
      <c r="K497" s="7"/>
      <c r="L497" s="7"/>
      <c r="M497" s="7"/>
      <c r="N497" s="7"/>
      <c r="O497" s="7"/>
      <c r="P497" s="7"/>
      <c r="Q497" s="7"/>
      <c r="R497" s="7"/>
      <c r="S497" s="7"/>
      <c r="T497" s="7"/>
      <c r="U497" s="7"/>
      <c r="V497" s="7"/>
      <c r="W497" s="7"/>
      <c r="AC497" s="1333">
        <v>11</v>
      </c>
      <c r="AD497" s="1178"/>
      <c r="AE497" s="1178"/>
      <c r="AF497" s="1178"/>
      <c r="AG497" s="18" t="s">
        <v>248</v>
      </c>
      <c r="AH497" s="1132">
        <v>2022</v>
      </c>
      <c r="AI497" s="1132"/>
      <c r="AJ497" s="1132"/>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37"/>
      <c r="C498" s="1338"/>
      <c r="D498" s="1338"/>
      <c r="E498" s="1338"/>
      <c r="F498" s="1338"/>
      <c r="G498" s="1338"/>
      <c r="H498" s="1339"/>
      <c r="I498" s="54" t="s">
        <v>672</v>
      </c>
      <c r="J498" s="54"/>
      <c r="K498" s="54"/>
      <c r="L498" s="54"/>
      <c r="M498" s="54"/>
      <c r="N498" s="54"/>
      <c r="O498" s="54"/>
      <c r="P498" s="54"/>
      <c r="Q498" s="54"/>
      <c r="R498" s="54"/>
      <c r="S498" s="54"/>
      <c r="T498" s="54"/>
      <c r="U498" s="54"/>
      <c r="V498" s="54"/>
      <c r="W498" s="54"/>
      <c r="X498" s="54"/>
      <c r="Y498" s="54"/>
      <c r="Z498" s="54"/>
      <c r="AA498" s="54"/>
      <c r="AB498" s="54"/>
      <c r="AC498" s="1333">
        <v>11</v>
      </c>
      <c r="AD498" s="1178"/>
      <c r="AE498" s="1178"/>
      <c r="AF498" s="1178"/>
      <c r="AG498" s="47" t="s">
        <v>248</v>
      </c>
      <c r="AH498" s="1132">
        <v>2021</v>
      </c>
      <c r="AI498" s="1132"/>
      <c r="AJ498" s="1132"/>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34" t="s">
        <v>673</v>
      </c>
      <c r="C499" s="1335"/>
      <c r="D499" s="1335"/>
      <c r="E499" s="1335"/>
      <c r="F499" s="1335"/>
      <c r="G499" s="1335"/>
      <c r="H499" s="1336"/>
      <c r="I499" s="7" t="s">
        <v>674</v>
      </c>
      <c r="J499" s="7"/>
      <c r="K499" s="7"/>
      <c r="L499" s="7"/>
      <c r="M499" s="7"/>
      <c r="N499" s="7"/>
      <c r="O499" s="7"/>
      <c r="P499" s="7"/>
      <c r="Q499" s="7"/>
      <c r="R499" s="7"/>
      <c r="S499" s="7"/>
      <c r="T499" s="7"/>
      <c r="U499" s="7"/>
      <c r="V499" s="7"/>
      <c r="W499" s="7"/>
      <c r="AC499" s="1333" t="s">
        <v>124</v>
      </c>
      <c r="AD499" s="1178"/>
      <c r="AE499" s="1178"/>
      <c r="AF499" s="1178"/>
      <c r="AG499" s="18" t="s">
        <v>248</v>
      </c>
      <c r="AH499" s="1132"/>
      <c r="AI499" s="1132"/>
      <c r="AJ499" s="1132"/>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37"/>
      <c r="C500" s="1338"/>
      <c r="D500" s="1338"/>
      <c r="E500" s="1338"/>
      <c r="F500" s="1338"/>
      <c r="G500" s="1338"/>
      <c r="H500" s="1339"/>
      <c r="I500" t="s">
        <v>675</v>
      </c>
      <c r="AC500" s="1333" t="s">
        <v>124</v>
      </c>
      <c r="AD500" s="1178"/>
      <c r="AE500" s="1178"/>
      <c r="AF500" s="1178"/>
      <c r="AG500" s="18" t="s">
        <v>248</v>
      </c>
      <c r="AH500" s="1132"/>
      <c r="AI500" s="1132"/>
      <c r="AJ500" s="1132"/>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37"/>
      <c r="C501" s="1338"/>
      <c r="D501" s="1338"/>
      <c r="E501" s="1338"/>
      <c r="F501" s="1338"/>
      <c r="G501" s="1338"/>
      <c r="H501" s="1339"/>
      <c r="I501" t="s">
        <v>676</v>
      </c>
      <c r="AC501" s="1333" t="s">
        <v>124</v>
      </c>
      <c r="AD501" s="1178"/>
      <c r="AE501" s="1178"/>
      <c r="AF501" s="1178"/>
      <c r="AG501" s="18" t="s">
        <v>248</v>
      </c>
      <c r="AH501" s="1132"/>
      <c r="AI501" s="1132"/>
      <c r="AJ501" s="1132"/>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37"/>
      <c r="C502" s="1338"/>
      <c r="D502" s="1338"/>
      <c r="E502" s="1338"/>
      <c r="F502" s="1338"/>
      <c r="G502" s="1338"/>
      <c r="H502" s="1339"/>
      <c r="I502" t="s">
        <v>677</v>
      </c>
      <c r="AC502" s="1333" t="s">
        <v>124</v>
      </c>
      <c r="AD502" s="1178"/>
      <c r="AE502" s="1178"/>
      <c r="AF502" s="1178"/>
      <c r="AG502" s="18" t="s">
        <v>248</v>
      </c>
      <c r="AH502" s="1132"/>
      <c r="AI502" s="1132"/>
      <c r="AJ502" s="1132"/>
      <c r="AK502" s="115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37"/>
      <c r="C503" s="1338"/>
      <c r="D503" s="1338"/>
      <c r="E503" s="1338"/>
      <c r="F503" s="1338"/>
      <c r="G503" s="1338"/>
      <c r="H503" s="1339"/>
      <c r="I503" s="41" t="s">
        <v>678</v>
      </c>
      <c r="AC503" s="1073" t="s">
        <v>124</v>
      </c>
      <c r="AD503" s="1074"/>
      <c r="AE503" s="1074"/>
      <c r="AF503" s="1074"/>
      <c r="AG503" s="18" t="s">
        <v>248</v>
      </c>
      <c r="AH503" s="1132"/>
      <c r="AI503" s="1132"/>
      <c r="AJ503" s="1132"/>
      <c r="AK503" s="115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37"/>
      <c r="C504" s="1338"/>
      <c r="D504" s="1338"/>
      <c r="E504" s="1338"/>
      <c r="F504" s="1338"/>
      <c r="G504" s="1338"/>
      <c r="H504" s="1339"/>
      <c r="I504" s="410" t="s">
        <v>283</v>
      </c>
      <c r="J504" s="54"/>
      <c r="K504" s="54"/>
      <c r="L504" s="1330" t="s">
        <v>562</v>
      </c>
      <c r="M504" s="1331"/>
      <c r="N504" s="1331"/>
      <c r="O504" s="1331"/>
      <c r="P504" s="1331"/>
      <c r="Q504" s="1331"/>
      <c r="R504" s="1331"/>
      <c r="S504" s="1331"/>
      <c r="T504" s="1331"/>
      <c r="U504" s="1331"/>
      <c r="V504" s="1331"/>
      <c r="W504" s="1331"/>
      <c r="X504" s="1331"/>
      <c r="Y504" s="1331"/>
      <c r="Z504" s="1331"/>
      <c r="AA504" s="1331"/>
      <c r="AB504" s="1588"/>
      <c r="AC504" s="1422" t="s">
        <v>124</v>
      </c>
      <c r="AD504" s="1423"/>
      <c r="AE504" s="1423"/>
      <c r="AF504" s="1423"/>
      <c r="AG504" s="47" t="s">
        <v>248</v>
      </c>
      <c r="AH504" s="1132"/>
      <c r="AI504" s="1132"/>
      <c r="AJ504" s="1132"/>
      <c r="AK504" s="115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37"/>
      <c r="C505" s="1338"/>
      <c r="D505" s="1338"/>
      <c r="E505" s="1338"/>
      <c r="F505" s="1338"/>
      <c r="G505" s="1338"/>
      <c r="H505" s="1339"/>
      <c r="I505" s="41" t="s">
        <v>1985</v>
      </c>
      <c r="AC505" s="1421" t="s">
        <v>482</v>
      </c>
      <c r="AD505" s="1421"/>
      <c r="AE505" s="1421"/>
      <c r="AF505" s="1421"/>
      <c r="AG505" s="18"/>
      <c r="AH505" s="1396"/>
      <c r="AI505" s="1396"/>
      <c r="AJ505" s="1396"/>
      <c r="AK505" s="139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37"/>
      <c r="C506" s="1338"/>
      <c r="D506" s="1338"/>
      <c r="E506" s="1338"/>
      <c r="F506" s="1338"/>
      <c r="G506" s="1338"/>
      <c r="H506" s="1339"/>
      <c r="I506" t="s">
        <v>1986</v>
      </c>
      <c r="AC506" s="1073"/>
      <c r="AD506" s="1074"/>
      <c r="AE506" s="1074"/>
      <c r="AF506" s="1075"/>
      <c r="AG506" s="18"/>
      <c r="AH506" s="1396"/>
      <c r="AI506" s="1396"/>
      <c r="AJ506" s="1396"/>
      <c r="AK506" s="139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37"/>
      <c r="C507" s="1338"/>
      <c r="D507" s="1338"/>
      <c r="E507" s="1338"/>
      <c r="F507" s="1338"/>
      <c r="G507" s="1338"/>
      <c r="H507" s="1339"/>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37"/>
      <c r="C508" s="1338"/>
      <c r="D508" s="1338"/>
      <c r="E508" s="1338"/>
      <c r="F508" s="1338"/>
      <c r="G508" s="1338"/>
      <c r="H508" s="1339"/>
      <c r="I508" s="838" t="s">
        <v>1988</v>
      </c>
      <c r="J508" s="54"/>
      <c r="K508" s="54"/>
      <c r="L508" s="54"/>
      <c r="M508" s="54"/>
      <c r="N508" s="54"/>
      <c r="O508" s="54"/>
      <c r="P508" s="54"/>
      <c r="Q508" s="54"/>
      <c r="R508" s="54"/>
      <c r="S508" s="54"/>
      <c r="T508" s="54"/>
      <c r="U508" s="54"/>
      <c r="V508" s="54"/>
      <c r="W508" s="54"/>
      <c r="X508" s="54"/>
      <c r="Y508" s="54"/>
      <c r="Z508" s="54"/>
      <c r="AA508" s="54"/>
      <c r="AB508" s="54"/>
      <c r="AC508" s="1377">
        <v>0.5</v>
      </c>
      <c r="AD508" s="1378"/>
      <c r="AE508" s="1378"/>
      <c r="AF508" s="1379"/>
      <c r="AG508" s="47"/>
      <c r="AH508" s="1594"/>
      <c r="AI508" s="1594"/>
      <c r="AJ508" s="1594"/>
      <c r="AK508" s="159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34" t="s">
        <v>679</v>
      </c>
      <c r="C509" s="1335"/>
      <c r="D509" s="1335"/>
      <c r="E509" s="1335"/>
      <c r="F509" s="1335"/>
      <c r="G509" s="1335"/>
      <c r="H509" s="1336"/>
      <c r="I509" s="7" t="s">
        <v>680</v>
      </c>
      <c r="J509" s="7"/>
      <c r="K509" s="7"/>
      <c r="L509" s="7"/>
      <c r="M509" s="7"/>
      <c r="N509" s="7"/>
      <c r="O509" s="7"/>
      <c r="P509" s="7"/>
      <c r="Q509" s="7"/>
      <c r="R509" s="7"/>
      <c r="S509" s="7"/>
      <c r="T509" s="7"/>
      <c r="U509" s="7"/>
      <c r="V509" s="7"/>
      <c r="W509" s="7"/>
      <c r="AC509" s="1333">
        <v>6</v>
      </c>
      <c r="AD509" s="1178"/>
      <c r="AE509" s="1178"/>
      <c r="AF509" s="1178"/>
      <c r="AG509" s="18" t="s">
        <v>248</v>
      </c>
      <c r="AH509" s="1132">
        <v>2024</v>
      </c>
      <c r="AI509" s="1132"/>
      <c r="AJ509" s="1132"/>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37"/>
      <c r="C510" s="1338"/>
      <c r="D510" s="1338"/>
      <c r="E510" s="1338"/>
      <c r="F510" s="1338"/>
      <c r="G510" s="1338"/>
      <c r="H510" s="1339"/>
      <c r="I510" t="s">
        <v>681</v>
      </c>
      <c r="AC510" s="1333">
        <v>6</v>
      </c>
      <c r="AD510" s="1178"/>
      <c r="AE510" s="1178"/>
      <c r="AF510" s="1178"/>
      <c r="AG510" s="18" t="s">
        <v>248</v>
      </c>
      <c r="AH510" s="1132">
        <v>2024</v>
      </c>
      <c r="AI510" s="1132"/>
      <c r="AJ510" s="1132"/>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37"/>
      <c r="C511" s="1338"/>
      <c r="D511" s="1338"/>
      <c r="E511" s="1338"/>
      <c r="F511" s="1338"/>
      <c r="G511" s="1338"/>
      <c r="H511" s="1339"/>
      <c r="I511" s="54" t="s">
        <v>682</v>
      </c>
      <c r="J511" s="54"/>
      <c r="K511" s="54"/>
      <c r="L511" s="54"/>
      <c r="M511" s="54"/>
      <c r="N511" s="54"/>
      <c r="O511" s="54"/>
      <c r="P511" s="54"/>
      <c r="Q511" s="54"/>
      <c r="R511" s="54"/>
      <c r="S511" s="54"/>
      <c r="T511" s="54"/>
      <c r="U511" s="54"/>
      <c r="V511" s="54"/>
      <c r="W511" s="54"/>
      <c r="X511" s="54"/>
      <c r="Y511" s="54"/>
      <c r="Z511" s="54"/>
      <c r="AA511" s="54"/>
      <c r="AB511" s="54"/>
      <c r="AC511" s="1333">
        <v>4</v>
      </c>
      <c r="AD511" s="1178"/>
      <c r="AE511" s="1178"/>
      <c r="AF511" s="1178"/>
      <c r="AG511" s="47" t="s">
        <v>248</v>
      </c>
      <c r="AH511" s="1132">
        <v>2025</v>
      </c>
      <c r="AI511" s="1132"/>
      <c r="AJ511" s="1132"/>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34" t="s">
        <v>683</v>
      </c>
      <c r="C512" s="1335"/>
      <c r="D512" s="1335"/>
      <c r="E512" s="1335"/>
      <c r="F512" s="1335"/>
      <c r="G512" s="1335"/>
      <c r="H512" s="1336"/>
      <c r="I512" s="7" t="s">
        <v>680</v>
      </c>
      <c r="J512" s="7"/>
      <c r="K512" s="7"/>
      <c r="L512" s="7"/>
      <c r="M512" s="7"/>
      <c r="N512" s="7"/>
      <c r="O512" s="7"/>
      <c r="P512" s="7"/>
      <c r="Q512" s="7"/>
      <c r="R512" s="7"/>
      <c r="S512" s="7"/>
      <c r="T512" s="7"/>
      <c r="U512" s="7"/>
      <c r="V512" s="7"/>
      <c r="W512" s="7"/>
      <c r="X512" s="7"/>
      <c r="Y512" s="7"/>
      <c r="Z512" s="7"/>
      <c r="AA512" s="7"/>
      <c r="AB512" s="7"/>
      <c r="AC512" s="1154">
        <v>6</v>
      </c>
      <c r="AD512" s="1155"/>
      <c r="AE512" s="1155"/>
      <c r="AF512" s="1155"/>
      <c r="AG512" s="230" t="s">
        <v>248</v>
      </c>
      <c r="AH512" s="1132">
        <v>2024</v>
      </c>
      <c r="AI512" s="1132"/>
      <c r="AJ512" s="1132"/>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37"/>
      <c r="C513" s="1338"/>
      <c r="D513" s="1338"/>
      <c r="E513" s="1338"/>
      <c r="F513" s="1338"/>
      <c r="G513" s="1338"/>
      <c r="H513" s="1339"/>
      <c r="I513" t="s">
        <v>681</v>
      </c>
      <c r="AC513" s="1333">
        <v>6</v>
      </c>
      <c r="AD513" s="1178"/>
      <c r="AE513" s="1178"/>
      <c r="AF513" s="1178"/>
      <c r="AG513" s="18" t="s">
        <v>248</v>
      </c>
      <c r="AH513" s="1132">
        <v>2024</v>
      </c>
      <c r="AI513" s="1132"/>
      <c r="AJ513" s="1132"/>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40"/>
      <c r="C514" s="1341"/>
      <c r="D514" s="1341"/>
      <c r="E514" s="1341"/>
      <c r="F514" s="1341"/>
      <c r="G514" s="1341"/>
      <c r="H514" s="1342"/>
      <c r="I514" s="54" t="s">
        <v>682</v>
      </c>
      <c r="J514" s="54"/>
      <c r="K514" s="54"/>
      <c r="L514" s="54"/>
      <c r="M514" s="54"/>
      <c r="N514" s="54"/>
      <c r="O514" s="54"/>
      <c r="P514" s="54"/>
      <c r="Q514" s="54"/>
      <c r="R514" s="54"/>
      <c r="S514" s="54"/>
      <c r="T514" s="54"/>
      <c r="U514" s="54"/>
      <c r="V514" s="54"/>
      <c r="W514" s="54"/>
      <c r="X514" s="54"/>
      <c r="Y514" s="54"/>
      <c r="Z514" s="54"/>
      <c r="AA514" s="54"/>
      <c r="AB514" s="54"/>
      <c r="AC514" s="1333">
        <v>4</v>
      </c>
      <c r="AD514" s="1178"/>
      <c r="AE514" s="1178"/>
      <c r="AF514" s="1178"/>
      <c r="AG514" s="47" t="s">
        <v>248</v>
      </c>
      <c r="AH514" s="1132">
        <v>2025</v>
      </c>
      <c r="AI514" s="1132"/>
      <c r="AJ514" s="1132"/>
      <c r="AK514" s="115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34" t="s">
        <v>684</v>
      </c>
      <c r="C515" s="1335"/>
      <c r="D515" s="1335"/>
      <c r="E515" s="1335"/>
      <c r="F515" s="1335"/>
      <c r="G515" s="1335"/>
      <c r="H515" s="1336"/>
      <c r="I515" s="6" t="s">
        <v>685</v>
      </c>
      <c r="J515" s="7"/>
      <c r="K515" s="7"/>
      <c r="L515" s="7"/>
      <c r="M515" s="7"/>
      <c r="N515" s="7"/>
      <c r="O515" s="1330" t="s">
        <v>2459</v>
      </c>
      <c r="P515" s="1331"/>
      <c r="Q515" s="1331"/>
      <c r="R515" s="1331"/>
      <c r="S515" s="1331"/>
      <c r="T515" s="1331"/>
      <c r="U515" s="1331"/>
      <c r="V515" s="1331"/>
      <c r="W515" s="1331"/>
      <c r="X515" s="1331"/>
      <c r="Y515" s="1331"/>
      <c r="Z515" s="1331"/>
      <c r="AA515" s="1331"/>
      <c r="AB515" s="64"/>
      <c r="AC515" s="1154" t="s">
        <v>124</v>
      </c>
      <c r="AD515" s="1155"/>
      <c r="AE515" s="1155"/>
      <c r="AF515" s="1155"/>
      <c r="AG515" s="230" t="s">
        <v>248</v>
      </c>
      <c r="AH515" s="1132"/>
      <c r="AI515" s="1132"/>
      <c r="AJ515" s="1132"/>
      <c r="AK515" s="115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37"/>
      <c r="C516" s="1338"/>
      <c r="D516" s="1338"/>
      <c r="E516" s="1338"/>
      <c r="F516" s="1338"/>
      <c r="G516" s="1338"/>
      <c r="H516" s="1339"/>
      <c r="I516" s="204" t="s">
        <v>686</v>
      </c>
      <c r="AB516" s="71"/>
      <c r="AC516" s="1333">
        <v>7</v>
      </c>
      <c r="AD516" s="1178"/>
      <c r="AE516" s="1178"/>
      <c r="AF516" s="1178"/>
      <c r="AG516" s="18" t="s">
        <v>248</v>
      </c>
      <c r="AH516" s="1132">
        <v>2022</v>
      </c>
      <c r="AI516" s="1132"/>
      <c r="AJ516" s="1132"/>
      <c r="AK516" s="115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37"/>
      <c r="C517" s="1338"/>
      <c r="D517" s="1338"/>
      <c r="E517" s="1338"/>
      <c r="F517" s="1338"/>
      <c r="G517" s="1338"/>
      <c r="H517" s="1339"/>
      <c r="I517" s="53" t="s">
        <v>687</v>
      </c>
      <c r="J517" s="54"/>
      <c r="K517" s="54"/>
      <c r="L517" s="54"/>
      <c r="M517" s="54"/>
      <c r="N517" s="54"/>
      <c r="O517" s="54"/>
      <c r="P517" s="54"/>
      <c r="Q517" s="54"/>
      <c r="R517" s="54"/>
      <c r="S517" s="54"/>
      <c r="T517" s="54"/>
      <c r="U517" s="54"/>
      <c r="V517" s="54"/>
      <c r="W517" s="54"/>
      <c r="X517" s="54"/>
      <c r="Y517" s="54"/>
      <c r="Z517" s="54"/>
      <c r="AA517" s="54"/>
      <c r="AB517" s="55"/>
      <c r="AC517" s="1333">
        <v>2</v>
      </c>
      <c r="AD517" s="1178"/>
      <c r="AE517" s="1178"/>
      <c r="AF517" s="1178"/>
      <c r="AG517" s="47" t="s">
        <v>248</v>
      </c>
      <c r="AH517" s="1132">
        <v>2023</v>
      </c>
      <c r="AI517" s="1132"/>
      <c r="AJ517" s="1132"/>
      <c r="AK517" s="1150"/>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37"/>
      <c r="C518" s="1338"/>
      <c r="D518" s="1338"/>
      <c r="E518" s="1338"/>
      <c r="F518" s="1338"/>
      <c r="G518" s="1338"/>
      <c r="H518" s="1339"/>
      <c r="I518" s="7" t="s">
        <v>688</v>
      </c>
      <c r="J518" s="7"/>
      <c r="K518" s="7"/>
      <c r="L518" s="7"/>
      <c r="M518" s="7"/>
      <c r="N518" s="7"/>
      <c r="O518" s="1330" t="s">
        <v>2468</v>
      </c>
      <c r="P518" s="1331"/>
      <c r="Q518" s="1331"/>
      <c r="R518" s="1331"/>
      <c r="S518" s="1331"/>
      <c r="T518" s="1331"/>
      <c r="U518" s="1331"/>
      <c r="V518" s="1331"/>
      <c r="W518" s="1331"/>
      <c r="X518" s="1331"/>
      <c r="Y518" s="1331"/>
      <c r="Z518" s="1331"/>
      <c r="AA518" s="1331"/>
      <c r="AC518" s="1333" t="s">
        <v>124</v>
      </c>
      <c r="AD518" s="1178"/>
      <c r="AE518" s="1178"/>
      <c r="AF518" s="1178"/>
      <c r="AG518" s="18" t="s">
        <v>248</v>
      </c>
      <c r="AH518" s="1132"/>
      <c r="AI518" s="1132"/>
      <c r="AJ518" s="1132"/>
      <c r="AK518" s="1150"/>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37"/>
      <c r="C519" s="1338"/>
      <c r="D519" s="1338"/>
      <c r="E519" s="1338"/>
      <c r="F519" s="1338"/>
      <c r="G519" s="1338"/>
      <c r="H519" s="1339"/>
      <c r="I519" t="s">
        <v>686</v>
      </c>
      <c r="AC519" s="1333">
        <v>11</v>
      </c>
      <c r="AD519" s="1178"/>
      <c r="AE519" s="1178"/>
      <c r="AF519" s="1178"/>
      <c r="AG519" s="18" t="s">
        <v>248</v>
      </c>
      <c r="AH519" s="1132">
        <v>2022</v>
      </c>
      <c r="AI519" s="1132"/>
      <c r="AJ519" s="1132"/>
      <c r="AK519" s="1150"/>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37"/>
      <c r="C520" s="1338"/>
      <c r="D520" s="1338"/>
      <c r="E520" s="1338"/>
      <c r="F520" s="1338"/>
      <c r="G520" s="1338"/>
      <c r="H520" s="1339"/>
      <c r="I520" s="54" t="s">
        <v>687</v>
      </c>
      <c r="J520" s="54"/>
      <c r="K520" s="54"/>
      <c r="L520" s="54"/>
      <c r="M520" s="54"/>
      <c r="N520" s="54"/>
      <c r="O520" s="54"/>
      <c r="P520" s="54"/>
      <c r="Q520" s="54"/>
      <c r="R520" s="54"/>
      <c r="S520" s="54"/>
      <c r="T520" s="54"/>
      <c r="U520" s="54"/>
      <c r="V520" s="54"/>
      <c r="W520" s="54"/>
      <c r="X520" s="54"/>
      <c r="Y520" s="54"/>
      <c r="Z520" s="54"/>
      <c r="AA520" s="54"/>
      <c r="AB520" s="54"/>
      <c r="AC520" s="1333">
        <v>2</v>
      </c>
      <c r="AD520" s="1178"/>
      <c r="AE520" s="1178"/>
      <c r="AF520" s="1178"/>
      <c r="AG520" s="47" t="s">
        <v>248</v>
      </c>
      <c r="AH520" s="1132">
        <v>2023</v>
      </c>
      <c r="AI520" s="1132"/>
      <c r="AJ520" s="1132"/>
      <c r="AK520" s="1150"/>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37"/>
      <c r="C521" s="1338"/>
      <c r="D521" s="1338"/>
      <c r="E521" s="1338"/>
      <c r="F521" s="1338"/>
      <c r="G521" s="1338"/>
      <c r="H521" s="1339"/>
      <c r="I521" s="7" t="s">
        <v>688</v>
      </c>
      <c r="J521" s="7"/>
      <c r="K521" s="7"/>
      <c r="L521" s="7"/>
      <c r="M521" s="7"/>
      <c r="N521" s="7"/>
      <c r="O521" s="1330" t="s">
        <v>2458</v>
      </c>
      <c r="P521" s="1331"/>
      <c r="Q521" s="1331"/>
      <c r="R521" s="1331"/>
      <c r="S521" s="1331"/>
      <c r="T521" s="1331"/>
      <c r="U521" s="1331"/>
      <c r="V521" s="1331"/>
      <c r="W521" s="1331"/>
      <c r="X521" s="1331"/>
      <c r="Y521" s="1331"/>
      <c r="Z521" s="1331"/>
      <c r="AA521" s="1331"/>
      <c r="AC521" s="1333" t="s">
        <v>124</v>
      </c>
      <c r="AD521" s="1178"/>
      <c r="AE521" s="1178"/>
      <c r="AF521" s="1178"/>
      <c r="AG521" s="18" t="s">
        <v>248</v>
      </c>
      <c r="AH521" s="1132"/>
      <c r="AI521" s="1132"/>
      <c r="AJ521" s="1132"/>
      <c r="AK521" s="1150"/>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37"/>
      <c r="C522" s="1338"/>
      <c r="D522" s="1338"/>
      <c r="E522" s="1338"/>
      <c r="F522" s="1338"/>
      <c r="G522" s="1338"/>
      <c r="H522" s="1339"/>
      <c r="I522" t="s">
        <v>686</v>
      </c>
      <c r="AC522" s="1333">
        <v>9</v>
      </c>
      <c r="AD522" s="1178"/>
      <c r="AE522" s="1178"/>
      <c r="AF522" s="1178"/>
      <c r="AG522" s="18" t="s">
        <v>248</v>
      </c>
      <c r="AH522" s="1132">
        <v>2022</v>
      </c>
      <c r="AI522" s="1132"/>
      <c r="AJ522" s="1132"/>
      <c r="AK522" s="1150"/>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37"/>
      <c r="C523" s="1338"/>
      <c r="D523" s="1338"/>
      <c r="E523" s="1338"/>
      <c r="F523" s="1338"/>
      <c r="G523" s="1338"/>
      <c r="H523" s="1339"/>
      <c r="I523" s="54" t="s">
        <v>687</v>
      </c>
      <c r="J523" s="54"/>
      <c r="K523" s="54"/>
      <c r="L523" s="54"/>
      <c r="M523" s="54"/>
      <c r="N523" s="54"/>
      <c r="O523" s="54"/>
      <c r="P523" s="54"/>
      <c r="Q523" s="54"/>
      <c r="R523" s="54"/>
      <c r="S523" s="54"/>
      <c r="T523" s="54"/>
      <c r="U523" s="54"/>
      <c r="V523" s="54"/>
      <c r="W523" s="54"/>
      <c r="X523" s="54"/>
      <c r="Y523" s="54"/>
      <c r="Z523" s="54"/>
      <c r="AA523" s="54"/>
      <c r="AB523" s="54"/>
      <c r="AC523" s="1333">
        <v>4</v>
      </c>
      <c r="AD523" s="1178"/>
      <c r="AE523" s="1178"/>
      <c r="AF523" s="1178"/>
      <c r="AG523" s="47" t="s">
        <v>248</v>
      </c>
      <c r="AH523" s="1132">
        <v>2023</v>
      </c>
      <c r="AI523" s="1132"/>
      <c r="AJ523" s="1132"/>
      <c r="AK523" s="1150"/>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37"/>
      <c r="C524" s="1338"/>
      <c r="D524" s="1338"/>
      <c r="E524" s="1338"/>
      <c r="F524" s="1338"/>
      <c r="G524" s="1338"/>
      <c r="H524" s="1339"/>
      <c r="I524" s="7" t="s">
        <v>688</v>
      </c>
      <c r="J524" s="7"/>
      <c r="K524" s="7"/>
      <c r="L524" s="7"/>
      <c r="M524" s="7"/>
      <c r="N524" s="7"/>
      <c r="O524" s="1330" t="s">
        <v>2455</v>
      </c>
      <c r="P524" s="1331"/>
      <c r="Q524" s="1331"/>
      <c r="R524" s="1331"/>
      <c r="S524" s="1331"/>
      <c r="T524" s="1331"/>
      <c r="U524" s="1331"/>
      <c r="V524" s="1331"/>
      <c r="W524" s="1331"/>
      <c r="X524" s="1331"/>
      <c r="Y524" s="1331"/>
      <c r="Z524" s="1331"/>
      <c r="AA524" s="1331"/>
      <c r="AC524" s="1333" t="s">
        <v>124</v>
      </c>
      <c r="AD524" s="1178"/>
      <c r="AE524" s="1178"/>
      <c r="AF524" s="1178"/>
      <c r="AG524" s="18" t="s">
        <v>248</v>
      </c>
      <c r="AH524" s="1132"/>
      <c r="AI524" s="1132"/>
      <c r="AJ524" s="1132"/>
      <c r="AK524" s="1150"/>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37"/>
      <c r="C525" s="1338"/>
      <c r="D525" s="1338"/>
      <c r="E525" s="1338"/>
      <c r="F525" s="1338"/>
      <c r="G525" s="1338"/>
      <c r="H525" s="1339"/>
      <c r="I525" t="s">
        <v>686</v>
      </c>
      <c r="AC525" s="1333">
        <v>6</v>
      </c>
      <c r="AD525" s="1178"/>
      <c r="AE525" s="1178"/>
      <c r="AF525" s="1178"/>
      <c r="AG525" s="18" t="s">
        <v>248</v>
      </c>
      <c r="AH525" s="1132">
        <v>2024</v>
      </c>
      <c r="AI525" s="1132"/>
      <c r="AJ525" s="1132"/>
      <c r="AK525" s="1150"/>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37"/>
      <c r="C526" s="1338"/>
      <c r="D526" s="1338"/>
      <c r="E526" s="1338"/>
      <c r="F526" s="1338"/>
      <c r="G526" s="1338"/>
      <c r="H526" s="1339"/>
      <c r="I526" s="54" t="s">
        <v>687</v>
      </c>
      <c r="J526" s="54"/>
      <c r="K526" s="54"/>
      <c r="L526" s="54"/>
      <c r="M526" s="54"/>
      <c r="N526" s="54"/>
      <c r="O526" s="54"/>
      <c r="P526" s="54"/>
      <c r="Q526" s="54"/>
      <c r="R526" s="54"/>
      <c r="S526" s="54"/>
      <c r="T526" s="54"/>
      <c r="U526" s="54"/>
      <c r="V526" s="54"/>
      <c r="W526" s="54"/>
      <c r="X526" s="54"/>
      <c r="Y526" s="54"/>
      <c r="Z526" s="54"/>
      <c r="AA526" s="54"/>
      <c r="AB526" s="54"/>
      <c r="AC526" s="1333">
        <v>4</v>
      </c>
      <c r="AD526" s="1178"/>
      <c r="AE526" s="1178"/>
      <c r="AF526" s="1178"/>
      <c r="AG526" s="47" t="s">
        <v>248</v>
      </c>
      <c r="AH526" s="1132">
        <v>2025</v>
      </c>
      <c r="AI526" s="1132"/>
      <c r="AJ526" s="1132"/>
      <c r="AK526" s="1150"/>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37"/>
      <c r="C527" s="1338"/>
      <c r="D527" s="1338"/>
      <c r="E527" s="1338"/>
      <c r="F527" s="1338"/>
      <c r="G527" s="1338"/>
      <c r="H527" s="1339"/>
      <c r="I527" s="7" t="s">
        <v>688</v>
      </c>
      <c r="J527" s="7"/>
      <c r="K527" s="7"/>
      <c r="L527" s="7"/>
      <c r="M527" s="7"/>
      <c r="N527" s="7"/>
      <c r="O527" s="1330" t="s">
        <v>562</v>
      </c>
      <c r="P527" s="1331"/>
      <c r="Q527" s="1331"/>
      <c r="R527" s="1331"/>
      <c r="S527" s="1331"/>
      <c r="T527" s="1331"/>
      <c r="U527" s="1331"/>
      <c r="V527" s="1331"/>
      <c r="W527" s="1331"/>
      <c r="X527" s="1331"/>
      <c r="Y527" s="1331"/>
      <c r="Z527" s="1331"/>
      <c r="AA527" s="1331"/>
      <c r="AC527" s="1333" t="s">
        <v>124</v>
      </c>
      <c r="AD527" s="1178"/>
      <c r="AE527" s="1178"/>
      <c r="AF527" s="1178"/>
      <c r="AG527" s="18" t="s">
        <v>248</v>
      </c>
      <c r="AH527" s="1132"/>
      <c r="AI527" s="1132"/>
      <c r="AJ527" s="1132"/>
      <c r="AK527" s="1150"/>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37"/>
      <c r="C528" s="1338"/>
      <c r="D528" s="1338"/>
      <c r="E528" s="1338"/>
      <c r="F528" s="1338"/>
      <c r="G528" s="1338"/>
      <c r="H528" s="1339"/>
      <c r="I528" t="s">
        <v>686</v>
      </c>
      <c r="AC528" s="1333" t="s">
        <v>124</v>
      </c>
      <c r="AD528" s="1178"/>
      <c r="AE528" s="1178"/>
      <c r="AF528" s="1178"/>
      <c r="AG528" s="47" t="s">
        <v>248</v>
      </c>
      <c r="AH528" s="1132"/>
      <c r="AI528" s="1132"/>
      <c r="AJ528" s="1132"/>
      <c r="AK528" s="1150"/>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37"/>
      <c r="C529" s="1338"/>
      <c r="D529" s="1338"/>
      <c r="E529" s="1338"/>
      <c r="F529" s="1338"/>
      <c r="G529" s="1338"/>
      <c r="H529" s="1339"/>
      <c r="I529" s="54" t="s">
        <v>687</v>
      </c>
      <c r="J529" s="54"/>
      <c r="K529" s="54"/>
      <c r="L529" s="54"/>
      <c r="M529" s="54"/>
      <c r="N529" s="54"/>
      <c r="O529" s="54"/>
      <c r="P529" s="54"/>
      <c r="Q529" s="54"/>
      <c r="R529" s="54"/>
      <c r="S529" s="54"/>
      <c r="T529" s="54"/>
      <c r="U529" s="54"/>
      <c r="V529" s="54"/>
      <c r="W529" s="54"/>
      <c r="X529" s="54"/>
      <c r="Y529" s="54"/>
      <c r="Z529" s="54"/>
      <c r="AA529" s="54"/>
      <c r="AB529" s="54"/>
      <c r="AC529" s="1333" t="s">
        <v>124</v>
      </c>
      <c r="AD529" s="1178"/>
      <c r="AE529" s="1178"/>
      <c r="AF529" s="1178"/>
      <c r="AG529" s="18" t="s">
        <v>248</v>
      </c>
      <c r="AH529" s="1132"/>
      <c r="AI529" s="1132"/>
      <c r="AJ529" s="1132"/>
      <c r="AK529" s="1150"/>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37"/>
      <c r="C530" s="1338"/>
      <c r="D530" s="1338"/>
      <c r="E530" s="1338"/>
      <c r="F530" s="1338"/>
      <c r="G530" s="1338"/>
      <c r="H530" s="1339"/>
      <c r="I530" s="7" t="s">
        <v>688</v>
      </c>
      <c r="J530" s="7"/>
      <c r="K530" s="7"/>
      <c r="L530" s="7"/>
      <c r="M530" s="7"/>
      <c r="N530" s="7"/>
      <c r="O530" s="1330" t="s">
        <v>562</v>
      </c>
      <c r="P530" s="1331"/>
      <c r="Q530" s="1331"/>
      <c r="R530" s="1331"/>
      <c r="S530" s="1331"/>
      <c r="T530" s="1331"/>
      <c r="U530" s="1331"/>
      <c r="V530" s="1331"/>
      <c r="W530" s="1331"/>
      <c r="X530" s="1331"/>
      <c r="Y530" s="1331"/>
      <c r="Z530" s="1331"/>
      <c r="AA530" s="1331"/>
      <c r="AC530" s="1333" t="s">
        <v>124</v>
      </c>
      <c r="AD530" s="1178"/>
      <c r="AE530" s="1178"/>
      <c r="AF530" s="1178"/>
      <c r="AG530" s="47" t="s">
        <v>248</v>
      </c>
      <c r="AH530" s="1132"/>
      <c r="AI530" s="1132"/>
      <c r="AJ530" s="1132"/>
      <c r="AK530" s="1150"/>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37"/>
      <c r="C531" s="1338"/>
      <c r="D531" s="1338"/>
      <c r="E531" s="1338"/>
      <c r="F531" s="1338"/>
      <c r="G531" s="1338"/>
      <c r="H531" s="1339"/>
      <c r="I531" t="s">
        <v>686</v>
      </c>
      <c r="AC531" s="1333" t="s">
        <v>124</v>
      </c>
      <c r="AD531" s="1178"/>
      <c r="AE531" s="1178"/>
      <c r="AF531" s="1178"/>
      <c r="AG531" s="18" t="s">
        <v>248</v>
      </c>
      <c r="AH531" s="1132"/>
      <c r="AI531" s="1132"/>
      <c r="AJ531" s="1132"/>
      <c r="AK531" s="1150"/>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37"/>
      <c r="C532" s="1338"/>
      <c r="D532" s="1338"/>
      <c r="E532" s="1338"/>
      <c r="F532" s="1338"/>
      <c r="G532" s="1338"/>
      <c r="H532" s="1339"/>
      <c r="I532" s="54" t="s">
        <v>687</v>
      </c>
      <c r="J532" s="54"/>
      <c r="K532" s="54"/>
      <c r="L532" s="54"/>
      <c r="M532" s="54"/>
      <c r="N532" s="54"/>
      <c r="O532" s="54"/>
      <c r="P532" s="54"/>
      <c r="Q532" s="54"/>
      <c r="R532" s="54"/>
      <c r="S532" s="54"/>
      <c r="T532" s="54"/>
      <c r="U532" s="54"/>
      <c r="V532" s="54"/>
      <c r="W532" s="54"/>
      <c r="X532" s="54"/>
      <c r="Y532" s="54"/>
      <c r="Z532" s="54"/>
      <c r="AA532" s="54"/>
      <c r="AB532" s="54"/>
      <c r="AC532" s="1333" t="s">
        <v>124</v>
      </c>
      <c r="AD532" s="1178"/>
      <c r="AE532" s="1178"/>
      <c r="AF532" s="1178"/>
      <c r="AG532" s="47" t="s">
        <v>248</v>
      </c>
      <c r="AH532" s="1132"/>
      <c r="AI532" s="1132"/>
      <c r="AJ532" s="1132"/>
      <c r="AK532" s="1150"/>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37"/>
      <c r="C533" s="1338"/>
      <c r="D533" s="1338"/>
      <c r="E533" s="1338"/>
      <c r="F533" s="1338"/>
      <c r="G533" s="1338"/>
      <c r="H533" s="1339"/>
      <c r="I533" s="7" t="s">
        <v>735</v>
      </c>
      <c r="J533" s="7"/>
      <c r="K533" s="7"/>
      <c r="L533" s="7"/>
      <c r="M533" s="7"/>
      <c r="N533" s="7"/>
      <c r="O533" s="7"/>
      <c r="P533" s="7"/>
      <c r="Q533" s="7"/>
      <c r="R533" s="7"/>
      <c r="S533" s="7"/>
      <c r="T533" s="7"/>
      <c r="U533" s="7"/>
      <c r="V533" s="7"/>
      <c r="W533" s="7"/>
      <c r="AC533" s="1333">
        <v>4</v>
      </c>
      <c r="AD533" s="1178"/>
      <c r="AE533" s="1178"/>
      <c r="AF533" s="1178"/>
      <c r="AG533" s="47" t="s">
        <v>248</v>
      </c>
      <c r="AH533" s="1132">
        <v>2026</v>
      </c>
      <c r="AI533" s="1132"/>
      <c r="AJ533" s="1132"/>
      <c r="AK533" s="1150"/>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37"/>
      <c r="C534" s="1338"/>
      <c r="D534" s="1338"/>
      <c r="E534" s="1338"/>
      <c r="F534" s="1338"/>
      <c r="G534" s="1338"/>
      <c r="H534" s="1339"/>
      <c r="I534" t="s">
        <v>736</v>
      </c>
      <c r="AC534" s="1333">
        <v>4</v>
      </c>
      <c r="AD534" s="1178"/>
      <c r="AE534" s="1178"/>
      <c r="AF534" s="1178"/>
      <c r="AG534" s="18" t="s">
        <v>248</v>
      </c>
      <c r="AH534" s="1132">
        <v>2025</v>
      </c>
      <c r="AI534" s="1132"/>
      <c r="AJ534" s="1132"/>
      <c r="AK534" s="1150"/>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37"/>
      <c r="C535" s="1338"/>
      <c r="D535" s="1338"/>
      <c r="E535" s="1338"/>
      <c r="F535" s="1338"/>
      <c r="G535" s="1338"/>
      <c r="H535" s="1339"/>
      <c r="I535" t="s">
        <v>737</v>
      </c>
      <c r="AC535" s="1333">
        <v>10</v>
      </c>
      <c r="AD535" s="1178"/>
      <c r="AE535" s="1178"/>
      <c r="AF535" s="1178"/>
      <c r="AG535" s="47" t="s">
        <v>248</v>
      </c>
      <c r="AH535" s="1132">
        <v>2026</v>
      </c>
      <c r="AI535" s="1132"/>
      <c r="AJ535" s="1132"/>
      <c r="AK535" s="1150"/>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37"/>
      <c r="C536" s="1338"/>
      <c r="D536" s="1338"/>
      <c r="E536" s="1338"/>
      <c r="F536" s="1338"/>
      <c r="G536" s="1338"/>
      <c r="H536" s="1339"/>
      <c r="I536" t="s">
        <v>738</v>
      </c>
      <c r="AC536" s="1333">
        <v>11</v>
      </c>
      <c r="AD536" s="1178"/>
      <c r="AE536" s="1178"/>
      <c r="AF536" s="1178"/>
      <c r="AG536" s="47" t="s">
        <v>248</v>
      </c>
      <c r="AH536" s="1132">
        <v>2026</v>
      </c>
      <c r="AI536" s="1132"/>
      <c r="AJ536" s="1132"/>
      <c r="AK536" s="1150"/>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40"/>
      <c r="C537" s="1341"/>
      <c r="D537" s="1341"/>
      <c r="E537" s="1341"/>
      <c r="F537" s="1341"/>
      <c r="G537" s="1341"/>
      <c r="H537" s="1342"/>
      <c r="I537" s="54" t="s">
        <v>1365</v>
      </c>
      <c r="J537" s="54"/>
      <c r="K537" s="54"/>
      <c r="L537" s="54"/>
      <c r="M537" s="54"/>
      <c r="N537" s="54"/>
      <c r="O537" s="54"/>
      <c r="P537" s="54"/>
      <c r="Q537" s="54"/>
      <c r="R537" s="54"/>
      <c r="S537" s="54"/>
      <c r="T537" s="54"/>
      <c r="U537" s="54"/>
      <c r="V537" s="54"/>
      <c r="W537" s="54"/>
      <c r="X537" s="54"/>
      <c r="Y537" s="54"/>
      <c r="Z537" s="54"/>
      <c r="AA537" s="54"/>
      <c r="AB537" s="54"/>
      <c r="AC537" s="1333">
        <v>12</v>
      </c>
      <c r="AD537" s="1178"/>
      <c r="AE537" s="1178"/>
      <c r="AF537" s="1178"/>
      <c r="AG537" s="47" t="s">
        <v>248</v>
      </c>
      <c r="AH537" s="1132">
        <v>2026</v>
      </c>
      <c r="AI537" s="1132"/>
      <c r="AJ537" s="1132"/>
      <c r="AK537" s="1150"/>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0" t="s">
        <v>498</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34" t="s">
        <v>2194</v>
      </c>
      <c r="C546" s="1335"/>
      <c r="D546" s="1335"/>
      <c r="E546" s="1335"/>
      <c r="F546" s="1335"/>
      <c r="G546" s="1335"/>
      <c r="H546" s="1335"/>
      <c r="I546" s="1335"/>
      <c r="J546" s="1335"/>
      <c r="K546" s="1335"/>
      <c r="L546" s="1335"/>
      <c r="M546" s="1417" t="s">
        <v>2168</v>
      </c>
      <c r="N546" s="1417"/>
      <c r="O546" s="1417"/>
      <c r="P546" s="1417"/>
      <c r="Q546" s="1334" t="s">
        <v>440</v>
      </c>
      <c r="R546" s="1335"/>
      <c r="S546" s="1336"/>
      <c r="T546" s="1334" t="s">
        <v>1989</v>
      </c>
      <c r="U546" s="1335"/>
      <c r="V546" s="1336"/>
      <c r="W546" s="1334" t="s">
        <v>740</v>
      </c>
      <c r="X546" s="1335"/>
      <c r="Y546" s="1336"/>
      <c r="Z546" s="1334" t="s">
        <v>1991</v>
      </c>
      <c r="AA546" s="1335"/>
      <c r="AB546" s="1335"/>
      <c r="AC546" s="1335"/>
      <c r="AD546" s="1336"/>
      <c r="AE546" s="1334" t="s">
        <v>1990</v>
      </c>
      <c r="AF546" s="1335"/>
      <c r="AG546" s="1335"/>
      <c r="AH546" s="1336"/>
      <c r="AI546" s="1334" t="s">
        <v>1992</v>
      </c>
      <c r="AJ546" s="1335"/>
      <c r="AK546" s="1335"/>
      <c r="AL546" s="1336"/>
      <c r="AM546" s="1334" t="s">
        <v>741</v>
      </c>
      <c r="AN546" s="1335"/>
      <c r="AO546" s="1335"/>
      <c r="AP546" s="1335"/>
      <c r="AQ546" s="1335"/>
      <c r="AR546" s="1335"/>
      <c r="AS546" s="13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37"/>
      <c r="C547" s="1338"/>
      <c r="D547" s="1338"/>
      <c r="E547" s="1338"/>
      <c r="F547" s="1338"/>
      <c r="G547" s="1338"/>
      <c r="H547" s="1338"/>
      <c r="I547" s="1338"/>
      <c r="J547" s="1338"/>
      <c r="K547" s="1338"/>
      <c r="L547" s="1338"/>
      <c r="M547" s="1417"/>
      <c r="N547" s="1417"/>
      <c r="O547" s="1417"/>
      <c r="P547" s="1417"/>
      <c r="Q547" s="1337"/>
      <c r="R547" s="1338"/>
      <c r="S547" s="1339"/>
      <c r="T547" s="1337"/>
      <c r="U547" s="1338"/>
      <c r="V547" s="1339"/>
      <c r="W547" s="1337"/>
      <c r="X547" s="1338"/>
      <c r="Y547" s="1339"/>
      <c r="Z547" s="1337"/>
      <c r="AA547" s="1338"/>
      <c r="AB547" s="1338"/>
      <c r="AC547" s="1338"/>
      <c r="AD547" s="1339"/>
      <c r="AE547" s="1337"/>
      <c r="AF547" s="1338"/>
      <c r="AG547" s="1338"/>
      <c r="AH547" s="1339"/>
      <c r="AI547" s="1337"/>
      <c r="AJ547" s="1338"/>
      <c r="AK547" s="1338"/>
      <c r="AL547" s="1339"/>
      <c r="AM547" s="1337"/>
      <c r="AN547" s="1338"/>
      <c r="AO547" s="1338"/>
      <c r="AP547" s="1338"/>
      <c r="AQ547" s="1338"/>
      <c r="AR547" s="1338"/>
      <c r="AS547" s="13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40"/>
      <c r="C548" s="1341"/>
      <c r="D548" s="1341"/>
      <c r="E548" s="1341"/>
      <c r="F548" s="1341"/>
      <c r="G548" s="1341"/>
      <c r="H548" s="1341"/>
      <c r="I548" s="1341"/>
      <c r="J548" s="1341"/>
      <c r="K548" s="1341"/>
      <c r="L548" s="1341"/>
      <c r="M548" s="1417"/>
      <c r="N548" s="1417"/>
      <c r="O548" s="1417"/>
      <c r="P548" s="1417"/>
      <c r="Q548" s="1340"/>
      <c r="R548" s="1341"/>
      <c r="S548" s="1342"/>
      <c r="T548" s="1340"/>
      <c r="U548" s="1341"/>
      <c r="V548" s="1342"/>
      <c r="W548" s="1340"/>
      <c r="X548" s="1341"/>
      <c r="Y548" s="1342"/>
      <c r="Z548" s="1340"/>
      <c r="AA548" s="1341"/>
      <c r="AB548" s="1341"/>
      <c r="AC548" s="1341"/>
      <c r="AD548" s="1342"/>
      <c r="AE548" s="1340"/>
      <c r="AF548" s="1341"/>
      <c r="AG548" s="1341"/>
      <c r="AH548" s="1342"/>
      <c r="AI548" s="1340"/>
      <c r="AJ548" s="1341"/>
      <c r="AK548" s="1341"/>
      <c r="AL548" s="1342"/>
      <c r="AM548" s="1340"/>
      <c r="AN548" s="1341"/>
      <c r="AO548" s="1341"/>
      <c r="AP548" s="1341"/>
      <c r="AQ548" s="1341"/>
      <c r="AR548" s="1341"/>
      <c r="AS548" s="13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119" t="s">
        <v>2448</v>
      </c>
      <c r="D549" s="1119"/>
      <c r="E549" s="1119"/>
      <c r="F549" s="1119"/>
      <c r="G549" s="1119"/>
      <c r="H549" s="1119"/>
      <c r="I549" s="1119"/>
      <c r="J549" s="1119"/>
      <c r="K549" s="1119"/>
      <c r="L549" s="1119"/>
      <c r="M549" s="1054" t="s">
        <v>2183</v>
      </c>
      <c r="N549" s="1054"/>
      <c r="O549" s="1054"/>
      <c r="P549" s="1054"/>
      <c r="Q549" s="1114">
        <v>30</v>
      </c>
      <c r="R549" s="1114"/>
      <c r="S549" s="1115"/>
      <c r="T549" s="1113">
        <v>30</v>
      </c>
      <c r="U549" s="1114"/>
      <c r="V549" s="1115"/>
      <c r="W549" s="1116">
        <v>7.85E-2</v>
      </c>
      <c r="X549" s="1117"/>
      <c r="Y549" s="1118"/>
      <c r="Z549" s="1126" t="s">
        <v>1977</v>
      </c>
      <c r="AA549" s="1126"/>
      <c r="AB549" s="1126"/>
      <c r="AC549" s="1126"/>
      <c r="AD549" s="1126"/>
      <c r="AE549" s="1127"/>
      <c r="AF549" s="1128"/>
      <c r="AG549" s="1128"/>
      <c r="AH549" s="1129"/>
      <c r="AI549" s="1327"/>
      <c r="AJ549" s="1328"/>
      <c r="AK549" s="1328"/>
      <c r="AL549" s="1329"/>
      <c r="AM549" s="1270">
        <v>21088460</v>
      </c>
      <c r="AN549" s="1271"/>
      <c r="AO549" s="1271"/>
      <c r="AP549" s="1271"/>
      <c r="AQ549" s="1271"/>
      <c r="AR549" s="1271"/>
      <c r="AS549" s="127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119" t="s">
        <v>2449</v>
      </c>
      <c r="D550" s="1119"/>
      <c r="E550" s="1119"/>
      <c r="F550" s="1119"/>
      <c r="G550" s="1119"/>
      <c r="H550" s="1119"/>
      <c r="I550" s="1119"/>
      <c r="J550" s="1119"/>
      <c r="K550" s="1119"/>
      <c r="L550" s="1119"/>
      <c r="M550" s="1054" t="s">
        <v>2180</v>
      </c>
      <c r="N550" s="1054"/>
      <c r="O550" s="1054"/>
      <c r="P550" s="1054"/>
      <c r="Q550" s="1113">
        <v>660</v>
      </c>
      <c r="R550" s="1114"/>
      <c r="S550" s="1115"/>
      <c r="T550" s="1113">
        <v>660</v>
      </c>
      <c r="U550" s="1114"/>
      <c r="V550" s="1115"/>
      <c r="W550" s="1116">
        <v>0.03</v>
      </c>
      <c r="X550" s="1117"/>
      <c r="Y550" s="1118"/>
      <c r="Z550" s="1126" t="s">
        <v>1977</v>
      </c>
      <c r="AA550" s="1126"/>
      <c r="AB550" s="1126"/>
      <c r="AC550" s="1126"/>
      <c r="AD550" s="1126"/>
      <c r="AE550" s="1127"/>
      <c r="AF550" s="1128"/>
      <c r="AG550" s="1128"/>
      <c r="AH550" s="1129"/>
      <c r="AI550" s="1327"/>
      <c r="AJ550" s="1328"/>
      <c r="AK550" s="1328"/>
      <c r="AL550" s="1329"/>
      <c r="AM550" s="1270">
        <v>6230384</v>
      </c>
      <c r="AN550" s="1271"/>
      <c r="AO550" s="1271"/>
      <c r="AP550" s="1271"/>
      <c r="AQ550" s="1271"/>
      <c r="AR550" s="1271"/>
      <c r="AS550" s="127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119" t="s">
        <v>2450</v>
      </c>
      <c r="D551" s="1119"/>
      <c r="E551" s="1119"/>
      <c r="F551" s="1119"/>
      <c r="G551" s="1119"/>
      <c r="H551" s="1119"/>
      <c r="I551" s="1119"/>
      <c r="J551" s="1119"/>
      <c r="K551" s="1119"/>
      <c r="L551" s="1119"/>
      <c r="M551" s="1054" t="s">
        <v>2175</v>
      </c>
      <c r="N551" s="1054"/>
      <c r="O551" s="1054"/>
      <c r="P551" s="1054"/>
      <c r="Q551" s="1113"/>
      <c r="R551" s="1114"/>
      <c r="S551" s="1115"/>
      <c r="T551" s="1113"/>
      <c r="U551" s="1114"/>
      <c r="V551" s="1115"/>
      <c r="W551" s="1116"/>
      <c r="X551" s="1117"/>
      <c r="Y551" s="1118"/>
      <c r="Z551" s="1126" t="s">
        <v>1977</v>
      </c>
      <c r="AA551" s="1126"/>
      <c r="AB551" s="1126"/>
      <c r="AC551" s="1126"/>
      <c r="AD551" s="1126"/>
      <c r="AE551" s="1127"/>
      <c r="AF551" s="1128"/>
      <c r="AG551" s="1128"/>
      <c r="AH551" s="1129"/>
      <c r="AI551" s="1327"/>
      <c r="AJ551" s="1328"/>
      <c r="AK551" s="1328"/>
      <c r="AL551" s="1329"/>
      <c r="AM551" s="1270">
        <f>+AO635-AM549-AM550</f>
        <v>4646423</v>
      </c>
      <c r="AN551" s="1271"/>
      <c r="AO551" s="1271"/>
      <c r="AP551" s="1271"/>
      <c r="AQ551" s="1271"/>
      <c r="AR551" s="1271"/>
      <c r="AS551" s="127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33"/>
      <c r="D552" s="1133"/>
      <c r="E552" s="1133"/>
      <c r="F552" s="1133"/>
      <c r="G552" s="1133"/>
      <c r="H552" s="1133"/>
      <c r="I552" s="1133"/>
      <c r="J552" s="1133"/>
      <c r="K552" s="1133"/>
      <c r="L552" s="1133"/>
      <c r="M552" s="1332" t="s">
        <v>1977</v>
      </c>
      <c r="N552" s="1332"/>
      <c r="O552" s="1332"/>
      <c r="P552" s="1332"/>
      <c r="Q552" s="1120"/>
      <c r="R552" s="1121"/>
      <c r="S552" s="1122"/>
      <c r="T552" s="1120"/>
      <c r="U552" s="1121"/>
      <c r="V552" s="1122"/>
      <c r="W552" s="1123"/>
      <c r="X552" s="1124"/>
      <c r="Y552" s="1125"/>
      <c r="Z552" s="1126" t="s">
        <v>1977</v>
      </c>
      <c r="AA552" s="1126"/>
      <c r="AB552" s="1126"/>
      <c r="AC552" s="1126"/>
      <c r="AD552" s="1126"/>
      <c r="AE552" s="1127"/>
      <c r="AF552" s="1128"/>
      <c r="AG552" s="1128"/>
      <c r="AH552" s="1129"/>
      <c r="AI552" s="1327"/>
      <c r="AJ552" s="1328"/>
      <c r="AK552" s="1328"/>
      <c r="AL552" s="1329"/>
      <c r="AM552" s="1270"/>
      <c r="AN552" s="1271"/>
      <c r="AO552" s="1271"/>
      <c r="AP552" s="1271"/>
      <c r="AQ552" s="1271"/>
      <c r="AR552" s="1271"/>
      <c r="AS552" s="127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33"/>
      <c r="D553" s="1133"/>
      <c r="E553" s="1133"/>
      <c r="F553" s="1133"/>
      <c r="G553" s="1133"/>
      <c r="H553" s="1133"/>
      <c r="I553" s="1133"/>
      <c r="J553" s="1133"/>
      <c r="K553" s="1133"/>
      <c r="L553" s="1133"/>
      <c r="M553" s="1332" t="s">
        <v>1977</v>
      </c>
      <c r="N553" s="1332"/>
      <c r="O553" s="1332"/>
      <c r="P553" s="1332"/>
      <c r="Q553" s="1120"/>
      <c r="R553" s="1121"/>
      <c r="S553" s="1122"/>
      <c r="T553" s="1120"/>
      <c r="U553" s="1121"/>
      <c r="V553" s="1122"/>
      <c r="W553" s="1123"/>
      <c r="X553" s="1124"/>
      <c r="Y553" s="1125"/>
      <c r="Z553" s="1126" t="s">
        <v>1977</v>
      </c>
      <c r="AA553" s="1126"/>
      <c r="AB553" s="1126"/>
      <c r="AC553" s="1126"/>
      <c r="AD553" s="1126"/>
      <c r="AE553" s="1127"/>
      <c r="AF553" s="1128"/>
      <c r="AG553" s="1128"/>
      <c r="AH553" s="1129"/>
      <c r="AI553" s="1327"/>
      <c r="AJ553" s="1328"/>
      <c r="AK553" s="1328"/>
      <c r="AL553" s="1329"/>
      <c r="AM553" s="1270"/>
      <c r="AN553" s="1271"/>
      <c r="AO553" s="1271"/>
      <c r="AP553" s="1271"/>
      <c r="AQ553" s="1271"/>
      <c r="AR553" s="1271"/>
      <c r="AS553" s="127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33"/>
      <c r="D554" s="1133"/>
      <c r="E554" s="1133"/>
      <c r="F554" s="1133"/>
      <c r="G554" s="1133"/>
      <c r="H554" s="1133"/>
      <c r="I554" s="1133"/>
      <c r="J554" s="1133"/>
      <c r="K554" s="1133"/>
      <c r="L554" s="1133"/>
      <c r="M554" s="1332" t="s">
        <v>1977</v>
      </c>
      <c r="N554" s="1332"/>
      <c r="O554" s="1332"/>
      <c r="P554" s="1332"/>
      <c r="Q554" s="1120"/>
      <c r="R554" s="1121"/>
      <c r="S554" s="1122"/>
      <c r="T554" s="1120"/>
      <c r="U554" s="1121"/>
      <c r="V554" s="1122"/>
      <c r="W554" s="1123"/>
      <c r="X554" s="1124"/>
      <c r="Y554" s="1125"/>
      <c r="Z554" s="1126" t="s">
        <v>1977</v>
      </c>
      <c r="AA554" s="1126"/>
      <c r="AB554" s="1126"/>
      <c r="AC554" s="1126"/>
      <c r="AD554" s="1126"/>
      <c r="AE554" s="1127"/>
      <c r="AF554" s="1128"/>
      <c r="AG554" s="1128"/>
      <c r="AH554" s="1129"/>
      <c r="AI554" s="1327"/>
      <c r="AJ554" s="1328"/>
      <c r="AK554" s="1328"/>
      <c r="AL554" s="1329"/>
      <c r="AM554" s="1270"/>
      <c r="AN554" s="1271"/>
      <c r="AO554" s="1271"/>
      <c r="AP554" s="1271"/>
      <c r="AQ554" s="1271"/>
      <c r="AR554" s="1271"/>
      <c r="AS554" s="127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133"/>
      <c r="D555" s="1133"/>
      <c r="E555" s="1133"/>
      <c r="F555" s="1133"/>
      <c r="G555" s="1133"/>
      <c r="H555" s="1133"/>
      <c r="I555" s="1133"/>
      <c r="J555" s="1133"/>
      <c r="K555" s="1133"/>
      <c r="L555" s="1133"/>
      <c r="M555" s="1332" t="s">
        <v>1977</v>
      </c>
      <c r="N555" s="1332"/>
      <c r="O555" s="1332"/>
      <c r="P555" s="1332"/>
      <c r="Q555" s="1120"/>
      <c r="R555" s="1121"/>
      <c r="S555" s="1122"/>
      <c r="T555" s="1120"/>
      <c r="U555" s="1121"/>
      <c r="V555" s="1122"/>
      <c r="W555" s="1123"/>
      <c r="X555" s="1124"/>
      <c r="Y555" s="1125"/>
      <c r="Z555" s="1126" t="s">
        <v>1977</v>
      </c>
      <c r="AA555" s="1126"/>
      <c r="AB555" s="1126"/>
      <c r="AC555" s="1126"/>
      <c r="AD555" s="1126"/>
      <c r="AE555" s="1127"/>
      <c r="AF555" s="1128"/>
      <c r="AG555" s="1128"/>
      <c r="AH555" s="1129"/>
      <c r="AI555" s="1327"/>
      <c r="AJ555" s="1328"/>
      <c r="AK555" s="1328"/>
      <c r="AL555" s="1329"/>
      <c r="AM555" s="1270"/>
      <c r="AN555" s="1271"/>
      <c r="AO555" s="1271"/>
      <c r="AP555" s="1271"/>
      <c r="AQ555" s="1271"/>
      <c r="AR555" s="1271"/>
      <c r="AS555" s="127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133"/>
      <c r="D556" s="1133"/>
      <c r="E556" s="1133"/>
      <c r="F556" s="1133"/>
      <c r="G556" s="1133"/>
      <c r="H556" s="1133"/>
      <c r="I556" s="1133"/>
      <c r="J556" s="1133"/>
      <c r="K556" s="1133"/>
      <c r="L556" s="1133"/>
      <c r="M556" s="1332" t="s">
        <v>1977</v>
      </c>
      <c r="N556" s="1332"/>
      <c r="O556" s="1332"/>
      <c r="P556" s="1332"/>
      <c r="Q556" s="1120"/>
      <c r="R556" s="1121"/>
      <c r="S556" s="1122"/>
      <c r="T556" s="1120"/>
      <c r="U556" s="1121"/>
      <c r="V556" s="1122"/>
      <c r="W556" s="1123"/>
      <c r="X556" s="1124"/>
      <c r="Y556" s="1125"/>
      <c r="Z556" s="1126" t="s">
        <v>1977</v>
      </c>
      <c r="AA556" s="1126"/>
      <c r="AB556" s="1126"/>
      <c r="AC556" s="1126"/>
      <c r="AD556" s="1126"/>
      <c r="AE556" s="1127"/>
      <c r="AF556" s="1128"/>
      <c r="AG556" s="1128"/>
      <c r="AH556" s="1129"/>
      <c r="AI556" s="1327"/>
      <c r="AJ556" s="1328"/>
      <c r="AK556" s="1328"/>
      <c r="AL556" s="1329"/>
      <c r="AM556" s="1270"/>
      <c r="AN556" s="1271"/>
      <c r="AO556" s="1271"/>
      <c r="AP556" s="1271"/>
      <c r="AQ556" s="1271"/>
      <c r="AR556" s="1271"/>
      <c r="AS556" s="127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133"/>
      <c r="D557" s="1133"/>
      <c r="E557" s="1133"/>
      <c r="F557" s="1133"/>
      <c r="G557" s="1133"/>
      <c r="H557" s="1133"/>
      <c r="I557" s="1133"/>
      <c r="J557" s="1133"/>
      <c r="K557" s="1133"/>
      <c r="L557" s="1133"/>
      <c r="M557" s="1332" t="s">
        <v>1977</v>
      </c>
      <c r="N557" s="1332"/>
      <c r="O557" s="1332"/>
      <c r="P557" s="1332"/>
      <c r="Q557" s="1120"/>
      <c r="R557" s="1121"/>
      <c r="S557" s="1122"/>
      <c r="T557" s="1120"/>
      <c r="U557" s="1121"/>
      <c r="V557" s="1122"/>
      <c r="W557" s="1123"/>
      <c r="X557" s="1124"/>
      <c r="Y557" s="1125"/>
      <c r="Z557" s="1126" t="s">
        <v>1977</v>
      </c>
      <c r="AA557" s="1126"/>
      <c r="AB557" s="1126"/>
      <c r="AC557" s="1126"/>
      <c r="AD557" s="1126"/>
      <c r="AE557" s="1127"/>
      <c r="AF557" s="1128"/>
      <c r="AG557" s="1128"/>
      <c r="AH557" s="1129"/>
      <c r="AI557" s="1327"/>
      <c r="AJ557" s="1328"/>
      <c r="AK557" s="1328"/>
      <c r="AL557" s="1329"/>
      <c r="AM557" s="1270"/>
      <c r="AN557" s="1271"/>
      <c r="AO557" s="1271"/>
      <c r="AP557" s="1271"/>
      <c r="AQ557" s="1271"/>
      <c r="AR557" s="1271"/>
      <c r="AS557" s="127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33"/>
      <c r="D558" s="1133"/>
      <c r="E558" s="1133"/>
      <c r="F558" s="1133"/>
      <c r="G558" s="1133"/>
      <c r="H558" s="1133"/>
      <c r="I558" s="1133"/>
      <c r="J558" s="1133"/>
      <c r="K558" s="1133"/>
      <c r="L558" s="1133"/>
      <c r="M558" s="1332" t="s">
        <v>1977</v>
      </c>
      <c r="N558" s="1332"/>
      <c r="O558" s="1332"/>
      <c r="P558" s="1332"/>
      <c r="Q558" s="1120"/>
      <c r="R558" s="1121"/>
      <c r="S558" s="1122"/>
      <c r="T558" s="1120"/>
      <c r="U558" s="1121"/>
      <c r="V558" s="1122"/>
      <c r="W558" s="1123"/>
      <c r="X558" s="1124"/>
      <c r="Y558" s="1125"/>
      <c r="Z558" s="1126" t="s">
        <v>1977</v>
      </c>
      <c r="AA558" s="1126"/>
      <c r="AB558" s="1126"/>
      <c r="AC558" s="1126"/>
      <c r="AD558" s="1126"/>
      <c r="AE558" s="1127"/>
      <c r="AF558" s="1128"/>
      <c r="AG558" s="1128"/>
      <c r="AH558" s="1129"/>
      <c r="AI558" s="1327"/>
      <c r="AJ558" s="1328"/>
      <c r="AK558" s="1328"/>
      <c r="AL558" s="1329"/>
      <c r="AM558" s="1270"/>
      <c r="AN558" s="1271"/>
      <c r="AO558" s="1271"/>
      <c r="AP558" s="1271"/>
      <c r="AQ558" s="1271"/>
      <c r="AR558" s="1271"/>
      <c r="AS558" s="127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33"/>
      <c r="D559" s="1133"/>
      <c r="E559" s="1133"/>
      <c r="F559" s="1133"/>
      <c r="G559" s="1133"/>
      <c r="H559" s="1133"/>
      <c r="I559" s="1133"/>
      <c r="J559" s="1133"/>
      <c r="K559" s="1133"/>
      <c r="L559" s="1133"/>
      <c r="M559" s="1332" t="s">
        <v>1977</v>
      </c>
      <c r="N559" s="1332"/>
      <c r="O559" s="1332"/>
      <c r="P559" s="1332"/>
      <c r="Q559" s="1120"/>
      <c r="R559" s="1121"/>
      <c r="S559" s="1122"/>
      <c r="T559" s="1120"/>
      <c r="U559" s="1121"/>
      <c r="V559" s="1122"/>
      <c r="W559" s="1123"/>
      <c r="X559" s="1124"/>
      <c r="Y559" s="1125"/>
      <c r="Z559" s="1126" t="s">
        <v>1977</v>
      </c>
      <c r="AA559" s="1126"/>
      <c r="AB559" s="1126"/>
      <c r="AC559" s="1126"/>
      <c r="AD559" s="1126"/>
      <c r="AE559" s="1127"/>
      <c r="AF559" s="1128"/>
      <c r="AG559" s="1128"/>
      <c r="AH559" s="1129"/>
      <c r="AI559" s="1327"/>
      <c r="AJ559" s="1328"/>
      <c r="AK559" s="1328"/>
      <c r="AL559" s="1329"/>
      <c r="AM559" s="1270"/>
      <c r="AN559" s="1271"/>
      <c r="AO559" s="1271"/>
      <c r="AP559" s="1271"/>
      <c r="AQ559" s="1271"/>
      <c r="AR559" s="1271"/>
      <c r="AS559" s="127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33"/>
      <c r="D560" s="1133"/>
      <c r="E560" s="1133"/>
      <c r="F560" s="1133"/>
      <c r="G560" s="1133"/>
      <c r="H560" s="1133"/>
      <c r="I560" s="1133"/>
      <c r="J560" s="1133"/>
      <c r="K560" s="1133"/>
      <c r="L560" s="1133"/>
      <c r="M560" s="1332" t="s">
        <v>1977</v>
      </c>
      <c r="N560" s="1332"/>
      <c r="O560" s="1332"/>
      <c r="P560" s="1332"/>
      <c r="Q560" s="1120"/>
      <c r="R560" s="1121"/>
      <c r="S560" s="1122"/>
      <c r="T560" s="1120"/>
      <c r="U560" s="1121"/>
      <c r="V560" s="1122"/>
      <c r="W560" s="1123"/>
      <c r="X560" s="1124"/>
      <c r="Y560" s="1125"/>
      <c r="Z560" s="1126" t="s">
        <v>1977</v>
      </c>
      <c r="AA560" s="1126"/>
      <c r="AB560" s="1126"/>
      <c r="AC560" s="1126"/>
      <c r="AD560" s="1126"/>
      <c r="AE560" s="1127"/>
      <c r="AF560" s="1128"/>
      <c r="AG560" s="1128"/>
      <c r="AH560" s="1129"/>
      <c r="AI560" s="1327"/>
      <c r="AJ560" s="1328"/>
      <c r="AK560" s="1328"/>
      <c r="AL560" s="1329"/>
      <c r="AM560" s="1270"/>
      <c r="AN560" s="1271"/>
      <c r="AO560" s="1271"/>
      <c r="AP560" s="1271"/>
      <c r="AQ560" s="1271"/>
      <c r="AR560" s="1271"/>
      <c r="AS560" s="127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061" t="s">
        <v>357</v>
      </c>
      <c r="C561" s="1062"/>
      <c r="D561" s="1062"/>
      <c r="E561" s="1062"/>
      <c r="F561" s="1062"/>
      <c r="G561" s="1062"/>
      <c r="H561" s="1062"/>
      <c r="I561" s="1062"/>
      <c r="J561" s="1062"/>
      <c r="K561" s="1062"/>
      <c r="L561" s="1062"/>
      <c r="M561" s="1062"/>
      <c r="N561" s="1062"/>
      <c r="O561" s="1062"/>
      <c r="P561" s="1062"/>
      <c r="Q561" s="1062"/>
      <c r="R561" s="1062"/>
      <c r="S561" s="1062"/>
      <c r="T561" s="1062"/>
      <c r="U561" s="1467"/>
      <c r="V561" s="1062"/>
      <c r="W561" s="1062"/>
      <c r="X561" s="1062"/>
      <c r="Y561" s="1062"/>
      <c r="Z561" s="1062"/>
      <c r="AA561" s="1062"/>
      <c r="AB561" s="1062"/>
      <c r="AC561" s="1062"/>
      <c r="AD561" s="1062"/>
      <c r="AE561" s="1062"/>
      <c r="AF561" s="1062"/>
      <c r="AG561" s="1062"/>
      <c r="AH561" s="1062"/>
      <c r="AI561" s="1062"/>
      <c r="AJ561" s="1062"/>
      <c r="AK561" s="1062"/>
      <c r="AL561" s="1063"/>
      <c r="AM561" s="1077">
        <f>SUM(AM549:AS560)</f>
        <v>31965267</v>
      </c>
      <c r="AN561" s="1078"/>
      <c r="AO561" s="1078"/>
      <c r="AP561" s="1078"/>
      <c r="AQ561" s="1078"/>
      <c r="AR561" s="1078"/>
      <c r="AS561" s="107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31" t="str">
        <f>C549</f>
        <v>Citi Bank Construction Loan</v>
      </c>
      <c r="H563" s="1131"/>
      <c r="I563" s="1131"/>
      <c r="J563" s="1131"/>
      <c r="K563" s="1131"/>
      <c r="L563" s="1131"/>
      <c r="M563" s="1131"/>
      <c r="N563" s="1131"/>
      <c r="O563" s="1131"/>
      <c r="P563" s="1131"/>
      <c r="Q563" s="1131"/>
      <c r="R563" s="1131"/>
      <c r="S563" s="12"/>
      <c r="T563" s="61" t="s">
        <v>901</v>
      </c>
      <c r="U563" t="s">
        <v>82</v>
      </c>
      <c r="Z563" s="1131" t="str">
        <f>C550</f>
        <v>HCD CDBG DR</v>
      </c>
      <c r="AA563" s="1131"/>
      <c r="AB563" s="1131"/>
      <c r="AC563" s="1131"/>
      <c r="AD563" s="1131"/>
      <c r="AE563" s="1131"/>
      <c r="AF563" s="1131"/>
      <c r="AG563" s="1131"/>
      <c r="AH563" s="1131"/>
      <c r="AI563" s="1131"/>
      <c r="AJ563" s="1131"/>
      <c r="AK563" s="113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80" t="s">
        <v>2406</v>
      </c>
      <c r="H564" s="1080"/>
      <c r="I564" s="1080"/>
      <c r="J564" s="1080"/>
      <c r="K564" s="1080"/>
      <c r="L564" s="1080"/>
      <c r="M564" s="1080"/>
      <c r="N564" s="1080"/>
      <c r="O564" s="1080"/>
      <c r="P564" s="1080"/>
      <c r="Q564" s="1080"/>
      <c r="R564" s="1080"/>
      <c r="S564" s="12"/>
      <c r="T564" s="4"/>
      <c r="U564" t="s">
        <v>372</v>
      </c>
      <c r="Z564" s="1080" t="s">
        <v>2411</v>
      </c>
      <c r="AA564" s="1080"/>
      <c r="AB564" s="1080"/>
      <c r="AC564" s="1080"/>
      <c r="AD564" s="1080"/>
      <c r="AE564" s="1080"/>
      <c r="AF564" s="1080"/>
      <c r="AG564" s="1080"/>
      <c r="AH564" s="1080"/>
      <c r="AI564" s="1080"/>
      <c r="AJ564" s="1080"/>
      <c r="AK564" s="108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80" t="s">
        <v>2407</v>
      </c>
      <c r="H565" s="1080"/>
      <c r="I565" s="1080"/>
      <c r="J565" s="1080"/>
      <c r="K565" s="1080"/>
      <c r="L565" s="1080"/>
      <c r="M565" s="1080"/>
      <c r="N565" s="1080"/>
      <c r="O565" s="1080"/>
      <c r="P565" s="1080"/>
      <c r="Q565" s="1080"/>
      <c r="R565" s="1080"/>
      <c r="T565" s="4"/>
      <c r="U565" t="s">
        <v>430</v>
      </c>
      <c r="Z565" s="1130" t="s">
        <v>2412</v>
      </c>
      <c r="AA565" s="1130"/>
      <c r="AB565" s="1130"/>
      <c r="AC565" s="1130"/>
      <c r="AD565" s="1130"/>
      <c r="AE565" s="1130"/>
      <c r="AF565" s="1130"/>
      <c r="AG565" s="1130"/>
      <c r="AH565" s="1130"/>
      <c r="AI565" s="1130"/>
      <c r="AJ565" s="1130"/>
      <c r="AK565" s="113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80" t="s">
        <v>2408</v>
      </c>
      <c r="H566" s="1080"/>
      <c r="I566" s="1080"/>
      <c r="J566" s="1080"/>
      <c r="K566" s="1080"/>
      <c r="L566" s="1080"/>
      <c r="M566" s="1080"/>
      <c r="N566" s="1080"/>
      <c r="O566" s="1080"/>
      <c r="P566" s="1080"/>
      <c r="Q566" s="1080"/>
      <c r="R566" s="1080"/>
      <c r="S566" s="12"/>
      <c r="T566" s="4"/>
      <c r="U566" t="s">
        <v>833</v>
      </c>
      <c r="Z566" s="1130"/>
      <c r="AA566" s="1130"/>
      <c r="AB566" s="1130"/>
      <c r="AC566" s="1130"/>
      <c r="AD566" s="1130"/>
      <c r="AE566" s="1130"/>
      <c r="AF566" s="1130"/>
      <c r="AG566" s="1130"/>
      <c r="AH566" s="1130"/>
      <c r="AI566" s="1130"/>
      <c r="AJ566" s="1130"/>
      <c r="AK566" s="1130"/>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90" t="s">
        <v>2409</v>
      </c>
      <c r="H567" s="1090"/>
      <c r="I567" s="1090"/>
      <c r="J567" s="1090"/>
      <c r="K567" s="1090"/>
      <c r="L567" s="1090"/>
      <c r="O567" s="42" t="s">
        <v>818</v>
      </c>
      <c r="P567" s="1310"/>
      <c r="Q567" s="1310"/>
      <c r="R567" s="1310"/>
      <c r="S567" s="14"/>
      <c r="T567" s="4"/>
      <c r="U567" t="s">
        <v>650</v>
      </c>
      <c r="Z567" s="1090" t="s">
        <v>2413</v>
      </c>
      <c r="AA567" s="1090"/>
      <c r="AB567" s="1090"/>
      <c r="AC567" s="1090"/>
      <c r="AD567" s="1090"/>
      <c r="AE567" s="1090"/>
      <c r="AH567" s="42" t="s">
        <v>818</v>
      </c>
      <c r="AI567" s="1310"/>
      <c r="AJ567" s="1310"/>
      <c r="AK567" s="131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80" t="s">
        <v>2410</v>
      </c>
      <c r="I568" s="1080"/>
      <c r="J568" s="1080"/>
      <c r="K568" s="1080"/>
      <c r="L568" s="1080"/>
      <c r="M568" s="1080"/>
      <c r="N568" s="1080"/>
      <c r="O568" s="1080"/>
      <c r="P568" s="1080"/>
      <c r="Q568" s="1080"/>
      <c r="R568" s="1080"/>
      <c r="S568" s="12"/>
      <c r="T568" s="4"/>
      <c r="U568" t="s">
        <v>834</v>
      </c>
      <c r="AA568" s="1080" t="s">
        <v>2414</v>
      </c>
      <c r="AB568" s="1080"/>
      <c r="AC568" s="1080"/>
      <c r="AD568" s="1080"/>
      <c r="AE568" s="1080"/>
      <c r="AF568" s="1080"/>
      <c r="AG568" s="1080"/>
      <c r="AH568" s="1080"/>
      <c r="AI568" s="1080"/>
      <c r="AJ568" s="1080"/>
      <c r="AK568" s="108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75" t="s">
        <v>108</v>
      </c>
      <c r="O569" s="1175"/>
      <c r="T569" s="4"/>
      <c r="U569" t="s">
        <v>836</v>
      </c>
      <c r="AG569" s="1175" t="s">
        <v>108</v>
      </c>
      <c r="AH569" s="117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31" t="str">
        <f>C551</f>
        <v>Tax Credit Equity</v>
      </c>
      <c r="H571" s="1131"/>
      <c r="I571" s="1131"/>
      <c r="J571" s="1131"/>
      <c r="K571" s="1131"/>
      <c r="L571" s="1131"/>
      <c r="M571" s="1131"/>
      <c r="N571" s="1131"/>
      <c r="O571" s="1131"/>
      <c r="P571" s="1131"/>
      <c r="Q571" s="1131"/>
      <c r="R571" s="1131"/>
      <c r="T571" s="61" t="s">
        <v>431</v>
      </c>
      <c r="U571" t="s">
        <v>82</v>
      </c>
      <c r="Z571" s="1131">
        <f>C552</f>
        <v>0</v>
      </c>
      <c r="AA571" s="1131"/>
      <c r="AB571" s="1131"/>
      <c r="AC571" s="1131"/>
      <c r="AD571" s="1131"/>
      <c r="AE571" s="1131"/>
      <c r="AF571" s="1131"/>
      <c r="AG571" s="1131"/>
      <c r="AH571" s="1131"/>
      <c r="AI571" s="1131"/>
      <c r="AJ571" s="1131"/>
      <c r="AK571" s="113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80" t="s">
        <v>2415</v>
      </c>
      <c r="H572" s="1080"/>
      <c r="I572" s="1080"/>
      <c r="J572" s="1080"/>
      <c r="K572" s="1080"/>
      <c r="L572" s="1080"/>
      <c r="M572" s="1080"/>
      <c r="N572" s="1080"/>
      <c r="O572" s="1080"/>
      <c r="P572" s="1080"/>
      <c r="Q572" s="1080"/>
      <c r="R572" s="1080"/>
      <c r="T572" s="4"/>
      <c r="U572" t="s">
        <v>372</v>
      </c>
      <c r="Z572" s="1080"/>
      <c r="AA572" s="1080"/>
      <c r="AB572" s="1080"/>
      <c r="AC572" s="1080"/>
      <c r="AD572" s="1080"/>
      <c r="AE572" s="1080"/>
      <c r="AF572" s="1080"/>
      <c r="AG572" s="1080"/>
      <c r="AH572" s="1080"/>
      <c r="AI572" s="1080"/>
      <c r="AJ572" s="1080"/>
      <c r="AK572" s="108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130" t="s">
        <v>2391</v>
      </c>
      <c r="H573" s="1130"/>
      <c r="I573" s="1130"/>
      <c r="J573" s="1130"/>
      <c r="K573" s="1130"/>
      <c r="L573" s="1130"/>
      <c r="M573" s="1130"/>
      <c r="N573" s="1130"/>
      <c r="O573" s="1130"/>
      <c r="P573" s="1130"/>
      <c r="Q573" s="1130"/>
      <c r="R573" s="1130"/>
      <c r="T573" s="4"/>
      <c r="U573" t="s">
        <v>430</v>
      </c>
      <c r="Z573" s="1130"/>
      <c r="AA573" s="1130"/>
      <c r="AB573" s="1130"/>
      <c r="AC573" s="1130"/>
      <c r="AD573" s="1130"/>
      <c r="AE573" s="1130"/>
      <c r="AF573" s="1130"/>
      <c r="AG573" s="1130"/>
      <c r="AH573" s="1130"/>
      <c r="AI573" s="1130"/>
      <c r="AJ573" s="1130"/>
      <c r="AK573" s="113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130" t="s">
        <v>2392</v>
      </c>
      <c r="H574" s="1130"/>
      <c r="I574" s="1130"/>
      <c r="J574" s="1130"/>
      <c r="K574" s="1130"/>
      <c r="L574" s="1130"/>
      <c r="M574" s="1130"/>
      <c r="N574" s="1130"/>
      <c r="O574" s="1130"/>
      <c r="P574" s="1130"/>
      <c r="Q574" s="1130"/>
      <c r="R574" s="1130"/>
      <c r="T574" s="4"/>
      <c r="U574" t="s">
        <v>833</v>
      </c>
      <c r="Z574" s="1130"/>
      <c r="AA574" s="1130"/>
      <c r="AB574" s="1130"/>
      <c r="AC574" s="1130"/>
      <c r="AD574" s="1130"/>
      <c r="AE574" s="1130"/>
      <c r="AF574" s="1130"/>
      <c r="AG574" s="1130"/>
      <c r="AH574" s="1130"/>
      <c r="AI574" s="1130"/>
      <c r="AJ574" s="1130"/>
      <c r="AK574" s="1130"/>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90" t="s">
        <v>2393</v>
      </c>
      <c r="H575" s="1090"/>
      <c r="I575" s="1090"/>
      <c r="J575" s="1090"/>
      <c r="K575" s="1090"/>
      <c r="L575" s="1090"/>
      <c r="O575" s="42" t="s">
        <v>818</v>
      </c>
      <c r="P575" s="1310"/>
      <c r="Q575" s="1310"/>
      <c r="R575" s="1310"/>
      <c r="T575" s="4"/>
      <c r="U575" t="s">
        <v>650</v>
      </c>
      <c r="Z575" s="1090"/>
      <c r="AA575" s="1090"/>
      <c r="AB575" s="1090"/>
      <c r="AC575" s="1090"/>
      <c r="AD575" s="1090"/>
      <c r="AE575" s="1090"/>
      <c r="AH575" s="42" t="s">
        <v>818</v>
      </c>
      <c r="AI575" s="1310"/>
      <c r="AJ575" s="1310"/>
      <c r="AK575" s="131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80" t="s">
        <v>2416</v>
      </c>
      <c r="I576" s="1080"/>
      <c r="J576" s="1080"/>
      <c r="K576" s="1080"/>
      <c r="L576" s="1080"/>
      <c r="M576" s="1080"/>
      <c r="N576" s="1080"/>
      <c r="O576" s="1080"/>
      <c r="P576" s="1080"/>
      <c r="Q576" s="1080"/>
      <c r="R576" s="1080"/>
      <c r="T576" s="4"/>
      <c r="U576" t="s">
        <v>834</v>
      </c>
      <c r="AA576" s="1080"/>
      <c r="AB576" s="1080"/>
      <c r="AC576" s="1080"/>
      <c r="AD576" s="1080"/>
      <c r="AE576" s="1080"/>
      <c r="AF576" s="1080"/>
      <c r="AG576" s="1080"/>
      <c r="AH576" s="1080"/>
      <c r="AI576" s="1080"/>
      <c r="AJ576" s="1080"/>
      <c r="AK576" s="108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32" t="s">
        <v>108</v>
      </c>
      <c r="O577" s="1132"/>
      <c r="T577" s="4"/>
      <c r="U577" t="s">
        <v>836</v>
      </c>
      <c r="AG577" s="1132" t="s">
        <v>482</v>
      </c>
      <c r="AH577" s="113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31">
        <f>C553</f>
        <v>0</v>
      </c>
      <c r="H579" s="1131"/>
      <c r="I579" s="1131"/>
      <c r="J579" s="1131"/>
      <c r="K579" s="1131"/>
      <c r="L579" s="1131"/>
      <c r="M579" s="1131"/>
      <c r="N579" s="1131"/>
      <c r="O579" s="1131"/>
      <c r="P579" s="1131"/>
      <c r="Q579" s="1131"/>
      <c r="R579" s="1131"/>
      <c r="T579" s="61" t="s">
        <v>434</v>
      </c>
      <c r="U579" t="s">
        <v>82</v>
      </c>
      <c r="Z579" s="1131">
        <f>C554</f>
        <v>0</v>
      </c>
      <c r="AA579" s="1131"/>
      <c r="AB579" s="1131"/>
      <c r="AC579" s="1131"/>
      <c r="AD579" s="1131"/>
      <c r="AE579" s="1131"/>
      <c r="AF579" s="1131"/>
      <c r="AG579" s="1131"/>
      <c r="AH579" s="1131"/>
      <c r="AI579" s="1131"/>
      <c r="AJ579" s="1131"/>
      <c r="AK579" s="113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80"/>
      <c r="H580" s="1080"/>
      <c r="I580" s="1080"/>
      <c r="J580" s="1080"/>
      <c r="K580" s="1080"/>
      <c r="L580" s="1080"/>
      <c r="M580" s="1080"/>
      <c r="N580" s="1080"/>
      <c r="O580" s="1080"/>
      <c r="P580" s="1080"/>
      <c r="Q580" s="1080"/>
      <c r="R580" s="1080"/>
      <c r="T580" s="4"/>
      <c r="U580" t="s">
        <v>372</v>
      </c>
      <c r="Z580" s="1080"/>
      <c r="AA580" s="1080"/>
      <c r="AB580" s="1080"/>
      <c r="AC580" s="1080"/>
      <c r="AD580" s="1080"/>
      <c r="AE580" s="1080"/>
      <c r="AF580" s="1080"/>
      <c r="AG580" s="1080"/>
      <c r="AH580" s="1080"/>
      <c r="AI580" s="1080"/>
      <c r="AJ580" s="1080"/>
      <c r="AK580" s="108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80"/>
      <c r="H581" s="1080"/>
      <c r="I581" s="1080"/>
      <c r="J581" s="1080"/>
      <c r="K581" s="1080"/>
      <c r="L581" s="1080"/>
      <c r="M581" s="1080"/>
      <c r="N581" s="1080"/>
      <c r="O581" s="1080"/>
      <c r="P581" s="1080"/>
      <c r="Q581" s="1080"/>
      <c r="R581" s="1080"/>
      <c r="T581" s="4"/>
      <c r="U581" t="s">
        <v>430</v>
      </c>
      <c r="Z581" s="1130"/>
      <c r="AA581" s="1130"/>
      <c r="AB581" s="1130"/>
      <c r="AC581" s="1130"/>
      <c r="AD581" s="1130"/>
      <c r="AE581" s="1130"/>
      <c r="AF581" s="1130"/>
      <c r="AG581" s="1130"/>
      <c r="AH581" s="1130"/>
      <c r="AI581" s="1130"/>
      <c r="AJ581" s="1130"/>
      <c r="AK581" s="113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80"/>
      <c r="H582" s="1080"/>
      <c r="I582" s="1080"/>
      <c r="J582" s="1080"/>
      <c r="K582" s="1080"/>
      <c r="L582" s="1080"/>
      <c r="M582" s="1080"/>
      <c r="N582" s="1080"/>
      <c r="O582" s="1080"/>
      <c r="P582" s="1080"/>
      <c r="Q582" s="1080"/>
      <c r="R582" s="1080"/>
      <c r="T582" s="4"/>
      <c r="U582" t="s">
        <v>833</v>
      </c>
      <c r="Z582" s="1130"/>
      <c r="AA582" s="1130"/>
      <c r="AB582" s="1130"/>
      <c r="AC582" s="1130"/>
      <c r="AD582" s="1130"/>
      <c r="AE582" s="1130"/>
      <c r="AF582" s="1130"/>
      <c r="AG582" s="1130"/>
      <c r="AH582" s="1130"/>
      <c r="AI582" s="1130"/>
      <c r="AJ582" s="1130"/>
      <c r="AK582" s="113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90"/>
      <c r="H583" s="1090"/>
      <c r="I583" s="1090"/>
      <c r="J583" s="1090"/>
      <c r="K583" s="1090"/>
      <c r="L583" s="1090"/>
      <c r="O583" s="42" t="s">
        <v>818</v>
      </c>
      <c r="P583" s="1310"/>
      <c r="Q583" s="1310"/>
      <c r="R583" s="1310"/>
      <c r="T583" s="4"/>
      <c r="U583" t="s">
        <v>650</v>
      </c>
      <c r="Z583" s="1090"/>
      <c r="AA583" s="1090"/>
      <c r="AB583" s="1090"/>
      <c r="AC583" s="1090"/>
      <c r="AD583" s="1090"/>
      <c r="AE583" s="1090"/>
      <c r="AH583" s="42" t="s">
        <v>818</v>
      </c>
      <c r="AI583" s="1310"/>
      <c r="AJ583" s="1310"/>
      <c r="AK583" s="131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80"/>
      <c r="I584" s="1080"/>
      <c r="J584" s="1080"/>
      <c r="K584" s="1080"/>
      <c r="L584" s="1080"/>
      <c r="M584" s="1080"/>
      <c r="N584" s="1080"/>
      <c r="O584" s="1080"/>
      <c r="P584" s="1080"/>
      <c r="Q584" s="1080"/>
      <c r="R584" s="1080"/>
      <c r="T584" s="4"/>
      <c r="U584" t="s">
        <v>834</v>
      </c>
      <c r="AA584" s="1080"/>
      <c r="AB584" s="1080"/>
      <c r="AC584" s="1080"/>
      <c r="AD584" s="1080"/>
      <c r="AE584" s="1080"/>
      <c r="AF584" s="1080"/>
      <c r="AG584" s="1080"/>
      <c r="AH584" s="1080"/>
      <c r="AI584" s="1080"/>
      <c r="AJ584" s="1080"/>
      <c r="AK584" s="108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32" t="s">
        <v>482</v>
      </c>
      <c r="O585" s="1132"/>
      <c r="T585" s="4"/>
      <c r="U585" t="s">
        <v>836</v>
      </c>
      <c r="AG585" s="1132" t="s">
        <v>482</v>
      </c>
      <c r="AH585" s="113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31">
        <f>C555</f>
        <v>0</v>
      </c>
      <c r="H587" s="1131"/>
      <c r="I587" s="1131"/>
      <c r="J587" s="1131"/>
      <c r="K587" s="1131"/>
      <c r="L587" s="1131"/>
      <c r="M587" s="1131"/>
      <c r="N587" s="1131"/>
      <c r="O587" s="1131"/>
      <c r="P587" s="1131"/>
      <c r="Q587" s="1131"/>
      <c r="R587" s="1131"/>
      <c r="T587" s="61" t="s">
        <v>743</v>
      </c>
      <c r="U587" t="s">
        <v>82</v>
      </c>
      <c r="Z587" s="1131">
        <f>C556</f>
        <v>0</v>
      </c>
      <c r="AA587" s="1131"/>
      <c r="AB587" s="1131"/>
      <c r="AC587" s="1131"/>
      <c r="AD587" s="1131"/>
      <c r="AE587" s="1131"/>
      <c r="AF587" s="1131"/>
      <c r="AG587" s="1131"/>
      <c r="AH587" s="1131"/>
      <c r="AI587" s="1131"/>
      <c r="AJ587" s="1131"/>
      <c r="AK587" s="113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80"/>
      <c r="H588" s="1080"/>
      <c r="I588" s="1080"/>
      <c r="J588" s="1080"/>
      <c r="K588" s="1080"/>
      <c r="L588" s="1080"/>
      <c r="M588" s="1080"/>
      <c r="N588" s="1080"/>
      <c r="O588" s="1080"/>
      <c r="P588" s="1080"/>
      <c r="Q588" s="1080"/>
      <c r="R588" s="1080"/>
      <c r="T588" s="4"/>
      <c r="U588" t="s">
        <v>372</v>
      </c>
      <c r="Z588" s="1080"/>
      <c r="AA588" s="1080"/>
      <c r="AB588" s="1080"/>
      <c r="AC588" s="1080"/>
      <c r="AD588" s="1080"/>
      <c r="AE588" s="1080"/>
      <c r="AF588" s="1080"/>
      <c r="AG588" s="1080"/>
      <c r="AH588" s="1080"/>
      <c r="AI588" s="1080"/>
      <c r="AJ588" s="1080"/>
      <c r="AK588" s="108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80"/>
      <c r="H589" s="1080"/>
      <c r="I589" s="1080"/>
      <c r="J589" s="1080"/>
      <c r="K589" s="1080"/>
      <c r="L589" s="1080"/>
      <c r="M589" s="1080"/>
      <c r="N589" s="1080"/>
      <c r="O589" s="1080"/>
      <c r="P589" s="1080"/>
      <c r="Q589" s="1080"/>
      <c r="R589" s="1080"/>
      <c r="S589"/>
      <c r="T589" s="4"/>
      <c r="U589" t="s">
        <v>430</v>
      </c>
      <c r="V589"/>
      <c r="W589"/>
      <c r="X589"/>
      <c r="Y589"/>
      <c r="Z589" s="1130"/>
      <c r="AA589" s="1130"/>
      <c r="AB589" s="1130"/>
      <c r="AC589" s="1130"/>
      <c r="AD589" s="1130"/>
      <c r="AE589" s="1130"/>
      <c r="AF589" s="1130"/>
      <c r="AG589" s="1130"/>
      <c r="AH589" s="1130"/>
      <c r="AI589" s="1130"/>
      <c r="AJ589" s="1130"/>
      <c r="AK589" s="1130"/>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80"/>
      <c r="H590" s="1080"/>
      <c r="I590" s="1080"/>
      <c r="J590" s="1080"/>
      <c r="K590" s="1080"/>
      <c r="L590" s="1080"/>
      <c r="M590" s="1080"/>
      <c r="N590" s="1080"/>
      <c r="O590" s="1080"/>
      <c r="P590" s="1080"/>
      <c r="Q590" s="1080"/>
      <c r="R590" s="1080"/>
      <c r="S590"/>
      <c r="T590" s="4"/>
      <c r="U590" t="s">
        <v>833</v>
      </c>
      <c r="V590"/>
      <c r="W590"/>
      <c r="X590"/>
      <c r="Y590"/>
      <c r="Z590" s="1130"/>
      <c r="AA590" s="1130"/>
      <c r="AB590" s="1130"/>
      <c r="AC590" s="1130"/>
      <c r="AD590" s="1130"/>
      <c r="AE590" s="1130"/>
      <c r="AF590" s="1130"/>
      <c r="AG590" s="1130"/>
      <c r="AH590" s="1130"/>
      <c r="AI590" s="1130"/>
      <c r="AJ590" s="1130"/>
      <c r="AK590" s="1130"/>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90"/>
      <c r="H591" s="1090"/>
      <c r="I591" s="1090"/>
      <c r="J591" s="1090"/>
      <c r="K591" s="1090"/>
      <c r="L591" s="1090"/>
      <c r="M591"/>
      <c r="N591"/>
      <c r="O591" s="42" t="s">
        <v>818</v>
      </c>
      <c r="P591" s="1310"/>
      <c r="Q591" s="1310"/>
      <c r="R591" s="1310"/>
      <c r="S591"/>
      <c r="T591" s="4"/>
      <c r="U591" t="s">
        <v>650</v>
      </c>
      <c r="V591"/>
      <c r="W591"/>
      <c r="X591"/>
      <c r="Y591"/>
      <c r="Z591" s="1090"/>
      <c r="AA591" s="1090"/>
      <c r="AB591" s="1090"/>
      <c r="AC591" s="1090"/>
      <c r="AD591" s="1090"/>
      <c r="AE591" s="1090"/>
      <c r="AF591"/>
      <c r="AG591"/>
      <c r="AH591" s="42" t="s">
        <v>818</v>
      </c>
      <c r="AI591" s="1310"/>
      <c r="AJ591" s="1310"/>
      <c r="AK591" s="1310"/>
      <c r="AL591"/>
      <c r="AZ591" s="5" t="s">
        <v>441</v>
      </c>
      <c r="BA591" s="41"/>
      <c r="BB591" s="41"/>
      <c r="BC591" s="41"/>
      <c r="BD591" s="41"/>
      <c r="BE591" s="214" t="s">
        <v>351</v>
      </c>
      <c r="BF591" s="215"/>
      <c r="BG591" s="1312"/>
      <c r="BH591" s="1314"/>
      <c r="BI591" s="214" t="s">
        <v>352</v>
      </c>
      <c r="BJ591" s="215"/>
      <c r="BK591" s="1312"/>
      <c r="BL591" s="1314"/>
      <c r="BN591" s="1312">
        <f t="shared" ref="BN591" si="1">IF(B695="SRO/Studio",G695,0)</f>
        <v>0</v>
      </c>
      <c r="BO591" s="1313"/>
      <c r="BP591" s="1313"/>
      <c r="BQ591" s="1313"/>
      <c r="BR591" s="1323"/>
      <c r="BS591" s="1312">
        <f t="shared" ref="BS591" si="2">IF(B695="1 Bedroom",G695,0)</f>
        <v>0</v>
      </c>
      <c r="BT591" s="1313"/>
      <c r="BU591" s="1313"/>
      <c r="BV591" s="1313"/>
      <c r="BW591" s="1314"/>
      <c r="BX591" s="1312">
        <f t="shared" ref="BX591" si="3">IF(B695="2 Bedrooms",G695,0)</f>
        <v>7</v>
      </c>
      <c r="BY591" s="1313"/>
      <c r="BZ591" s="1313"/>
      <c r="CA591" s="1313"/>
      <c r="CB591" s="1314"/>
      <c r="CC591" s="1312">
        <f t="shared" ref="CC591" si="4">IF(B695="3 Bedrooms",G695,0)</f>
        <v>0</v>
      </c>
      <c r="CD591" s="1313"/>
      <c r="CE591" s="1313"/>
      <c r="CF591" s="1313"/>
      <c r="CG591" s="1314"/>
      <c r="CH591" s="1312">
        <f t="shared" ref="CH591" si="5">IF(B695="4 Bedrooms",G695,0)</f>
        <v>0</v>
      </c>
      <c r="CI591" s="1313"/>
      <c r="CJ591" s="1313"/>
      <c r="CK591" s="1313"/>
      <c r="CL591" s="1314"/>
      <c r="CM591" s="1321">
        <f t="shared" ref="CM591" si="6">IF(B695="5 Bedrooms",G695,0)</f>
        <v>0</v>
      </c>
      <c r="CN591" s="1322"/>
      <c r="CO591" s="1322"/>
      <c r="CP591" s="1322"/>
      <c r="CQ591" s="132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80"/>
      <c r="I592" s="1080"/>
      <c r="J592" s="1080"/>
      <c r="K592" s="1080"/>
      <c r="L592" s="1080"/>
      <c r="M592" s="1080"/>
      <c r="N592" s="1080"/>
      <c r="O592" s="1080"/>
      <c r="P592" s="1080"/>
      <c r="Q592" s="1080"/>
      <c r="R592" s="1080"/>
      <c r="S592"/>
      <c r="T592" s="4"/>
      <c r="U592" t="s">
        <v>834</v>
      </c>
      <c r="V592"/>
      <c r="W592"/>
      <c r="X592"/>
      <c r="Y592"/>
      <c r="Z592"/>
      <c r="AA592" s="1080"/>
      <c r="AB592" s="1080"/>
      <c r="AC592" s="1080"/>
      <c r="AD592" s="1080"/>
      <c r="AE592" s="1080"/>
      <c r="AF592" s="1080"/>
      <c r="AG592" s="1080"/>
      <c r="AH592" s="1080"/>
      <c r="AI592" s="1080"/>
      <c r="AJ592" s="1080"/>
      <c r="AK592" s="1080"/>
      <c r="AL592"/>
      <c r="AZ592" s="5" t="s">
        <v>442</v>
      </c>
      <c r="BA592" s="41"/>
      <c r="BB592" s="41"/>
      <c r="BC592" s="41"/>
      <c r="BD592" s="41"/>
      <c r="BE592" s="1318">
        <f>IF(AND(AH695&lt;=0.5,AH695&gt;=0.36),1,0)</f>
        <v>0</v>
      </c>
      <c r="BF592" s="1320"/>
      <c r="BG592" s="1312">
        <f t="shared" ref="BG592:BG615" si="7">IF(BE592=1,G695,0)</f>
        <v>0</v>
      </c>
      <c r="BH592" s="1314"/>
      <c r="BI592" s="1318">
        <f>IF(AND(AH695&lt;=0.35,AH695&gt;0),1,0)</f>
        <v>1</v>
      </c>
      <c r="BJ592" s="1320"/>
      <c r="BK592" s="1312">
        <f t="shared" ref="BK592:BK615" si="8">IF(BI592=1,G695,0)</f>
        <v>7</v>
      </c>
      <c r="BL592" s="1314"/>
      <c r="BN592" s="1312">
        <f t="shared" ref="BN592:BN625" si="9">IF(B696="SRO/Studio",G696,0)</f>
        <v>0</v>
      </c>
      <c r="BO592" s="1313"/>
      <c r="BP592" s="1313"/>
      <c r="BQ592" s="1313"/>
      <c r="BR592" s="1323"/>
      <c r="BS592" s="1312">
        <f t="shared" ref="BS592:BS625" si="10">IF(B696="1 Bedroom",G696,0)</f>
        <v>0</v>
      </c>
      <c r="BT592" s="1313"/>
      <c r="BU592" s="1313"/>
      <c r="BV592" s="1313"/>
      <c r="BW592" s="1314"/>
      <c r="BX592" s="1312">
        <f t="shared" ref="BX592:BX625" si="11">IF(B696="2 Bedrooms",G696,0)</f>
        <v>4</v>
      </c>
      <c r="BY592" s="1313"/>
      <c r="BZ592" s="1313"/>
      <c r="CA592" s="1313"/>
      <c r="CB592" s="1314"/>
      <c r="CC592" s="1312">
        <f t="shared" ref="CC592:CC625" si="12">IF(B696="3 Bedrooms",G696,0)</f>
        <v>0</v>
      </c>
      <c r="CD592" s="1313"/>
      <c r="CE592" s="1313"/>
      <c r="CF592" s="1313"/>
      <c r="CG592" s="1314"/>
      <c r="CH592" s="1312">
        <f t="shared" ref="CH592:CH625" si="13">IF(B696="4 Bedrooms",G696,0)</f>
        <v>0</v>
      </c>
      <c r="CI592" s="1313"/>
      <c r="CJ592" s="1313"/>
      <c r="CK592" s="1313"/>
      <c r="CL592" s="1314"/>
      <c r="CM592" s="1321">
        <f t="shared" ref="CM592:CM625" si="14">IF(B696="5 Bedrooms",G696,0)</f>
        <v>0</v>
      </c>
      <c r="CN592" s="1322"/>
      <c r="CO592" s="1322"/>
      <c r="CP592" s="1322"/>
      <c r="CQ592" s="1323"/>
      <c r="CS592" s="1324">
        <f>IF(AND(B695="SRO/Studio",AH695&lt;=0.3),G695,0)</f>
        <v>0</v>
      </c>
      <c r="CT592" s="1325"/>
      <c r="CU592" s="1325"/>
      <c r="CV592" s="1325"/>
      <c r="CW592" s="1326"/>
      <c r="CX592" s="1324">
        <f>IF(AND(B695="1 Bedroom",AH695&lt;=0.3),G695,0)</f>
        <v>0</v>
      </c>
      <c r="CY592" s="1325"/>
      <c r="CZ592" s="1325"/>
      <c r="DA592" s="1325"/>
      <c r="DB592" s="1326"/>
      <c r="DC592" s="1324">
        <f>IF(AND(B695="2 Bedrooms",AH695&lt;=0.3),G695,0)</f>
        <v>7</v>
      </c>
      <c r="DD592" s="1325"/>
      <c r="DE592" s="1325"/>
      <c r="DF592" s="1325"/>
      <c r="DG592" s="1326"/>
      <c r="DH592" s="1324">
        <f>IF(AND(B695="3 Bedrooms",AH695&lt;=0.3),G695,0)</f>
        <v>0</v>
      </c>
      <c r="DI592" s="1325"/>
      <c r="DJ592" s="1325"/>
      <c r="DK592" s="1325"/>
      <c r="DL592" s="1326"/>
      <c r="DM592" s="1324">
        <f>IF(AND(B695="4 Bedrooms",AH695&lt;=0.3),G695,0)</f>
        <v>0</v>
      </c>
      <c r="DN592" s="1325"/>
      <c r="DO592" s="1325"/>
      <c r="DP592" s="1325"/>
      <c r="DQ592" s="1326"/>
      <c r="DR592" s="1324">
        <f>IF(AND(B695="5 Bedrooms",AH695&lt;=0.3),G695,0)</f>
        <v>0</v>
      </c>
      <c r="DS592" s="1325"/>
      <c r="DT592" s="1325"/>
      <c r="DU592" s="1325"/>
      <c r="DV592" s="1326"/>
    </row>
    <row r="593" spans="1:126" s="5" customFormat="1" ht="12.9" customHeight="1">
      <c r="A593" s="4"/>
      <c r="B593" t="s">
        <v>836</v>
      </c>
      <c r="C593"/>
      <c r="D593"/>
      <c r="E593"/>
      <c r="F593"/>
      <c r="G593"/>
      <c r="H593"/>
      <c r="I593"/>
      <c r="J593"/>
      <c r="K593"/>
      <c r="L593"/>
      <c r="M593"/>
      <c r="N593" s="1132" t="s">
        <v>482</v>
      </c>
      <c r="O593" s="1132"/>
      <c r="P593"/>
      <c r="Q593"/>
      <c r="R593"/>
      <c r="S593"/>
      <c r="T593" s="4"/>
      <c r="U593" t="s">
        <v>836</v>
      </c>
      <c r="V593"/>
      <c r="W593"/>
      <c r="X593"/>
      <c r="Y593"/>
      <c r="Z593"/>
      <c r="AA593"/>
      <c r="AB593"/>
      <c r="AC593"/>
      <c r="AD593"/>
      <c r="AE593"/>
      <c r="AF593"/>
      <c r="AG593" s="1132" t="s">
        <v>482</v>
      </c>
      <c r="AH593" s="1132"/>
      <c r="AI593"/>
      <c r="AJ593"/>
      <c r="AK593"/>
      <c r="AL593"/>
      <c r="AZ593" s="5" t="s">
        <v>780</v>
      </c>
      <c r="BA593" s="41"/>
      <c r="BB593" s="41"/>
      <c r="BC593" s="41"/>
      <c r="BD593" s="41"/>
      <c r="BE593" s="1318">
        <f t="shared" ref="BE593:BE615" si="15">IF(AND(AH696&lt;=0.5,AH696&gt;=0.36),1,0)</f>
        <v>1</v>
      </c>
      <c r="BF593" s="1320"/>
      <c r="BG593" s="1312">
        <f t="shared" si="7"/>
        <v>4</v>
      </c>
      <c r="BH593" s="1314"/>
      <c r="BI593" s="1318">
        <f t="shared" ref="BI593:BI615" si="16">IF(AND(AH696&lt;=0.35,AH696&gt;0),1,0)</f>
        <v>0</v>
      </c>
      <c r="BJ593" s="1320"/>
      <c r="BK593" s="1312">
        <f t="shared" si="8"/>
        <v>0</v>
      </c>
      <c r="BL593" s="1314"/>
      <c r="BN593" s="1312">
        <f t="shared" si="9"/>
        <v>0</v>
      </c>
      <c r="BO593" s="1313"/>
      <c r="BP593" s="1313"/>
      <c r="BQ593" s="1313"/>
      <c r="BR593" s="1323"/>
      <c r="BS593" s="1312">
        <f t="shared" si="10"/>
        <v>0</v>
      </c>
      <c r="BT593" s="1313"/>
      <c r="BU593" s="1313"/>
      <c r="BV593" s="1313"/>
      <c r="BW593" s="1314"/>
      <c r="BX593" s="1312">
        <f t="shared" si="11"/>
        <v>7</v>
      </c>
      <c r="BY593" s="1313"/>
      <c r="BZ593" s="1313"/>
      <c r="CA593" s="1313"/>
      <c r="CB593" s="1314"/>
      <c r="CC593" s="1312">
        <f t="shared" si="12"/>
        <v>0</v>
      </c>
      <c r="CD593" s="1313"/>
      <c r="CE593" s="1313"/>
      <c r="CF593" s="1313"/>
      <c r="CG593" s="1314"/>
      <c r="CH593" s="1312">
        <f t="shared" si="13"/>
        <v>0</v>
      </c>
      <c r="CI593" s="1313"/>
      <c r="CJ593" s="1313"/>
      <c r="CK593" s="1313"/>
      <c r="CL593" s="1314"/>
      <c r="CM593" s="1321">
        <f t="shared" si="14"/>
        <v>0</v>
      </c>
      <c r="CN593" s="1322"/>
      <c r="CO593" s="1322"/>
      <c r="CP593" s="1322"/>
      <c r="CQ593" s="1323"/>
      <c r="CS593" s="1324">
        <f t="shared" ref="CS593:CS615" si="17">IF(AND(B696="SRO/Studio",AH696&lt;=0.3),G696,0)</f>
        <v>0</v>
      </c>
      <c r="CT593" s="1325"/>
      <c r="CU593" s="1325"/>
      <c r="CV593" s="1325"/>
      <c r="CW593" s="1326"/>
      <c r="CX593" s="1324">
        <f t="shared" ref="CX593:CX615" si="18">IF(AND(B696="1 Bedroom",AH696&lt;=0.3),G696,0)</f>
        <v>0</v>
      </c>
      <c r="CY593" s="1325"/>
      <c r="CZ593" s="1325"/>
      <c r="DA593" s="1325"/>
      <c r="DB593" s="1326"/>
      <c r="DC593" s="1324">
        <f t="shared" ref="DC593:DC615" si="19">IF(AND(B696="2 Bedrooms",AH696&lt;=0.3),G696,0)</f>
        <v>0</v>
      </c>
      <c r="DD593" s="1325"/>
      <c r="DE593" s="1325"/>
      <c r="DF593" s="1325"/>
      <c r="DG593" s="1326"/>
      <c r="DH593" s="1324">
        <f t="shared" ref="DH593:DH615" si="20">IF(AND(B696="3 Bedrooms",AH696&lt;=0.3),G696,0)</f>
        <v>0</v>
      </c>
      <c r="DI593" s="1325"/>
      <c r="DJ593" s="1325"/>
      <c r="DK593" s="1325"/>
      <c r="DL593" s="1326"/>
      <c r="DM593" s="1324">
        <f t="shared" ref="DM593:DM615" si="21">IF(AND(B696="4 Bedrooms",AH696&lt;=0.3),G696,0)</f>
        <v>0</v>
      </c>
      <c r="DN593" s="1325"/>
      <c r="DO593" s="1325"/>
      <c r="DP593" s="1325"/>
      <c r="DQ593" s="1326"/>
      <c r="DR593" s="1324">
        <f t="shared" ref="DR593:DR615" si="22">IF(AND(B696="5 Bedrooms",AH696&lt;=0.3),G696,0)</f>
        <v>0</v>
      </c>
      <c r="DS593" s="1325"/>
      <c r="DT593" s="1325"/>
      <c r="DU593" s="1325"/>
      <c r="DV593" s="1326"/>
    </row>
    <row r="594" spans="1:126" ht="12.9" customHeight="1">
      <c r="AZ594" s="5" t="s">
        <v>781</v>
      </c>
      <c r="BA594" s="41"/>
      <c r="BB594" s="41"/>
      <c r="BC594" s="41"/>
      <c r="BD594" s="41"/>
      <c r="BE594" s="1318">
        <f t="shared" si="15"/>
        <v>1</v>
      </c>
      <c r="BF594" s="1320"/>
      <c r="BG594" s="1312">
        <f t="shared" si="7"/>
        <v>7</v>
      </c>
      <c r="BH594" s="1314"/>
      <c r="BI594" s="1318">
        <f t="shared" si="16"/>
        <v>0</v>
      </c>
      <c r="BJ594" s="1320"/>
      <c r="BK594" s="1312">
        <f t="shared" si="8"/>
        <v>0</v>
      </c>
      <c r="BL594" s="1314"/>
      <c r="BN594" s="1312">
        <f t="shared" si="9"/>
        <v>0</v>
      </c>
      <c r="BO594" s="1313"/>
      <c r="BP594" s="1313"/>
      <c r="BQ594" s="1313"/>
      <c r="BR594" s="1323"/>
      <c r="BS594" s="1312">
        <f t="shared" si="10"/>
        <v>0</v>
      </c>
      <c r="BT594" s="1313"/>
      <c r="BU594" s="1313"/>
      <c r="BV594" s="1313"/>
      <c r="BW594" s="1314"/>
      <c r="BX594" s="1312">
        <f t="shared" si="11"/>
        <v>13</v>
      </c>
      <c r="BY594" s="1313"/>
      <c r="BZ594" s="1313"/>
      <c r="CA594" s="1313"/>
      <c r="CB594" s="1314"/>
      <c r="CC594" s="1312">
        <f t="shared" si="12"/>
        <v>0</v>
      </c>
      <c r="CD594" s="1313"/>
      <c r="CE594" s="1313"/>
      <c r="CF594" s="1313"/>
      <c r="CG594" s="1314"/>
      <c r="CH594" s="1312">
        <f t="shared" si="13"/>
        <v>0</v>
      </c>
      <c r="CI594" s="1313"/>
      <c r="CJ594" s="1313"/>
      <c r="CK594" s="1313"/>
      <c r="CL594" s="1314"/>
      <c r="CM594" s="1321">
        <f t="shared" si="14"/>
        <v>0</v>
      </c>
      <c r="CN594" s="1322"/>
      <c r="CO594" s="1322"/>
      <c r="CP594" s="1322"/>
      <c r="CQ594" s="1323"/>
      <c r="CS594" s="1324">
        <f t="shared" si="17"/>
        <v>0</v>
      </c>
      <c r="CT594" s="1325"/>
      <c r="CU594" s="1325"/>
      <c r="CV594" s="1325"/>
      <c r="CW594" s="1326"/>
      <c r="CX594" s="1324">
        <f t="shared" si="18"/>
        <v>0</v>
      </c>
      <c r="CY594" s="1325"/>
      <c r="CZ594" s="1325"/>
      <c r="DA594" s="1325"/>
      <c r="DB594" s="1326"/>
      <c r="DC594" s="1324">
        <f t="shared" si="19"/>
        <v>0</v>
      </c>
      <c r="DD594" s="1325"/>
      <c r="DE594" s="1325"/>
      <c r="DF594" s="1325"/>
      <c r="DG594" s="1326"/>
      <c r="DH594" s="1324">
        <f t="shared" si="20"/>
        <v>0</v>
      </c>
      <c r="DI594" s="1325"/>
      <c r="DJ594" s="1325"/>
      <c r="DK594" s="1325"/>
      <c r="DL594" s="1326"/>
      <c r="DM594" s="1324">
        <f t="shared" si="21"/>
        <v>0</v>
      </c>
      <c r="DN594" s="1325"/>
      <c r="DO594" s="1325"/>
      <c r="DP594" s="1325"/>
      <c r="DQ594" s="1326"/>
      <c r="DR594" s="1324">
        <f t="shared" si="22"/>
        <v>0</v>
      </c>
      <c r="DS594" s="1325"/>
      <c r="DT594" s="1325"/>
      <c r="DU594" s="1325"/>
      <c r="DV594" s="1326"/>
    </row>
    <row r="595" spans="1:126" ht="12.9" customHeight="1">
      <c r="A595" s="61" t="s">
        <v>546</v>
      </c>
      <c r="B595" t="s">
        <v>82</v>
      </c>
      <c r="G595" s="1131">
        <f>C557</f>
        <v>0</v>
      </c>
      <c r="H595" s="1131"/>
      <c r="I595" s="1131"/>
      <c r="J595" s="1131"/>
      <c r="K595" s="1131"/>
      <c r="L595" s="1131"/>
      <c r="M595" s="1131"/>
      <c r="N595" s="1131"/>
      <c r="O595" s="1131"/>
      <c r="P595" s="1131"/>
      <c r="Q595" s="1131"/>
      <c r="R595" s="1131"/>
      <c r="T595" s="61" t="s">
        <v>174</v>
      </c>
      <c r="U595" t="s">
        <v>82</v>
      </c>
      <c r="Z595" s="1131">
        <f>C558</f>
        <v>0</v>
      </c>
      <c r="AA595" s="1131"/>
      <c r="AB595" s="1131"/>
      <c r="AC595" s="1131"/>
      <c r="AD595" s="1131"/>
      <c r="AE595" s="1131"/>
      <c r="AF595" s="1131"/>
      <c r="AG595" s="1131"/>
      <c r="AH595" s="1131"/>
      <c r="AI595" s="1131"/>
      <c r="AJ595" s="1131"/>
      <c r="AK595" s="1131"/>
      <c r="AZ595" s="5" t="s">
        <v>782</v>
      </c>
      <c r="BA595" s="41"/>
      <c r="BB595" s="41"/>
      <c r="BC595" s="41"/>
      <c r="BD595" s="41"/>
      <c r="BE595" s="1318">
        <f t="shared" si="15"/>
        <v>0</v>
      </c>
      <c r="BF595" s="1320"/>
      <c r="BG595" s="1312">
        <f t="shared" si="7"/>
        <v>0</v>
      </c>
      <c r="BH595" s="1314"/>
      <c r="BI595" s="1318">
        <f t="shared" si="16"/>
        <v>0</v>
      </c>
      <c r="BJ595" s="1320"/>
      <c r="BK595" s="1312">
        <f t="shared" si="8"/>
        <v>0</v>
      </c>
      <c r="BL595" s="1314"/>
      <c r="BN595" s="1312">
        <f t="shared" si="9"/>
        <v>0</v>
      </c>
      <c r="BO595" s="1313"/>
      <c r="BP595" s="1313"/>
      <c r="BQ595" s="1313"/>
      <c r="BR595" s="1323"/>
      <c r="BS595" s="1312">
        <f t="shared" si="10"/>
        <v>0</v>
      </c>
      <c r="BT595" s="1313"/>
      <c r="BU595" s="1313"/>
      <c r="BV595" s="1313"/>
      <c r="BW595" s="1314"/>
      <c r="BX595" s="1312">
        <f t="shared" si="11"/>
        <v>0</v>
      </c>
      <c r="BY595" s="1313"/>
      <c r="BZ595" s="1313"/>
      <c r="CA595" s="1313"/>
      <c r="CB595" s="1314"/>
      <c r="CC595" s="1312">
        <f t="shared" si="12"/>
        <v>8</v>
      </c>
      <c r="CD595" s="1313"/>
      <c r="CE595" s="1313"/>
      <c r="CF595" s="1313"/>
      <c r="CG595" s="1314"/>
      <c r="CH595" s="1312">
        <f t="shared" si="13"/>
        <v>0</v>
      </c>
      <c r="CI595" s="1313"/>
      <c r="CJ595" s="1313"/>
      <c r="CK595" s="1313"/>
      <c r="CL595" s="1314"/>
      <c r="CM595" s="1321">
        <f t="shared" si="14"/>
        <v>0</v>
      </c>
      <c r="CN595" s="1322"/>
      <c r="CO595" s="1322"/>
      <c r="CP595" s="1322"/>
      <c r="CQ595" s="1323"/>
      <c r="CS595" s="1324">
        <f t="shared" si="17"/>
        <v>0</v>
      </c>
      <c r="CT595" s="1325"/>
      <c r="CU595" s="1325"/>
      <c r="CV595" s="1325"/>
      <c r="CW595" s="1326"/>
      <c r="CX595" s="1324">
        <f t="shared" si="18"/>
        <v>0</v>
      </c>
      <c r="CY595" s="1325"/>
      <c r="CZ595" s="1325"/>
      <c r="DA595" s="1325"/>
      <c r="DB595" s="1326"/>
      <c r="DC595" s="1324">
        <f t="shared" si="19"/>
        <v>0</v>
      </c>
      <c r="DD595" s="1325"/>
      <c r="DE595" s="1325"/>
      <c r="DF595" s="1325"/>
      <c r="DG595" s="1326"/>
      <c r="DH595" s="1324">
        <f t="shared" si="20"/>
        <v>0</v>
      </c>
      <c r="DI595" s="1325"/>
      <c r="DJ595" s="1325"/>
      <c r="DK595" s="1325"/>
      <c r="DL595" s="1326"/>
      <c r="DM595" s="1324">
        <f t="shared" si="21"/>
        <v>0</v>
      </c>
      <c r="DN595" s="1325"/>
      <c r="DO595" s="1325"/>
      <c r="DP595" s="1325"/>
      <c r="DQ595" s="1326"/>
      <c r="DR595" s="1324">
        <f t="shared" si="22"/>
        <v>0</v>
      </c>
      <c r="DS595" s="1325"/>
      <c r="DT595" s="1325"/>
      <c r="DU595" s="1325"/>
      <c r="DV595" s="1326"/>
    </row>
    <row r="596" spans="1:126" ht="12.9" customHeight="1">
      <c r="A596" s="4"/>
      <c r="B596" t="s">
        <v>372</v>
      </c>
      <c r="G596" s="1080"/>
      <c r="H596" s="1080"/>
      <c r="I596" s="1080"/>
      <c r="J596" s="1080"/>
      <c r="K596" s="1080"/>
      <c r="L596" s="1080"/>
      <c r="M596" s="1080"/>
      <c r="N596" s="1080"/>
      <c r="O596" s="1080"/>
      <c r="P596" s="1080"/>
      <c r="Q596" s="1080"/>
      <c r="R596" s="1080"/>
      <c r="T596" s="4"/>
      <c r="U596" t="s">
        <v>372</v>
      </c>
      <c r="Z596" s="1080"/>
      <c r="AA596" s="1080"/>
      <c r="AB596" s="1080"/>
      <c r="AC596" s="1080"/>
      <c r="AD596" s="1080"/>
      <c r="AE596" s="1080"/>
      <c r="AF596" s="1080"/>
      <c r="AG596" s="1080"/>
      <c r="AH596" s="1080"/>
      <c r="AI596" s="1080"/>
      <c r="AJ596" s="1080"/>
      <c r="AK596" s="1080"/>
      <c r="AZ596" s="5" t="s">
        <v>344</v>
      </c>
      <c r="BA596" s="41"/>
      <c r="BB596" s="41"/>
      <c r="BC596" s="41"/>
      <c r="BD596" s="41"/>
      <c r="BE596" s="1318">
        <f t="shared" si="15"/>
        <v>0</v>
      </c>
      <c r="BF596" s="1320"/>
      <c r="BG596" s="1312">
        <f t="shared" si="7"/>
        <v>0</v>
      </c>
      <c r="BH596" s="1314"/>
      <c r="BI596" s="1318">
        <f t="shared" si="16"/>
        <v>1</v>
      </c>
      <c r="BJ596" s="1320"/>
      <c r="BK596" s="1312">
        <f t="shared" si="8"/>
        <v>8</v>
      </c>
      <c r="BL596" s="1314"/>
      <c r="BN596" s="1312">
        <f t="shared" si="9"/>
        <v>0</v>
      </c>
      <c r="BO596" s="1313"/>
      <c r="BP596" s="1313"/>
      <c r="BQ596" s="1313"/>
      <c r="BR596" s="1323"/>
      <c r="BS596" s="1312">
        <f t="shared" si="10"/>
        <v>0</v>
      </c>
      <c r="BT596" s="1313"/>
      <c r="BU596" s="1313"/>
      <c r="BV596" s="1313"/>
      <c r="BW596" s="1314"/>
      <c r="BX596" s="1312">
        <f t="shared" si="11"/>
        <v>0</v>
      </c>
      <c r="BY596" s="1313"/>
      <c r="BZ596" s="1313"/>
      <c r="CA596" s="1313"/>
      <c r="CB596" s="1314"/>
      <c r="CC596" s="1312">
        <f t="shared" si="12"/>
        <v>4</v>
      </c>
      <c r="CD596" s="1313"/>
      <c r="CE596" s="1313"/>
      <c r="CF596" s="1313"/>
      <c r="CG596" s="1314"/>
      <c r="CH596" s="1312">
        <f t="shared" si="13"/>
        <v>0</v>
      </c>
      <c r="CI596" s="1313"/>
      <c r="CJ596" s="1313"/>
      <c r="CK596" s="1313"/>
      <c r="CL596" s="1314"/>
      <c r="CM596" s="1321">
        <f t="shared" si="14"/>
        <v>0</v>
      </c>
      <c r="CN596" s="1322"/>
      <c r="CO596" s="1322"/>
      <c r="CP596" s="1322"/>
      <c r="CQ596" s="1323"/>
      <c r="CS596" s="1324">
        <f t="shared" si="17"/>
        <v>0</v>
      </c>
      <c r="CT596" s="1325"/>
      <c r="CU596" s="1325"/>
      <c r="CV596" s="1325"/>
      <c r="CW596" s="1326"/>
      <c r="CX596" s="1324">
        <f t="shared" si="18"/>
        <v>0</v>
      </c>
      <c r="CY596" s="1325"/>
      <c r="CZ596" s="1325"/>
      <c r="DA596" s="1325"/>
      <c r="DB596" s="1326"/>
      <c r="DC596" s="1324">
        <f t="shared" si="19"/>
        <v>0</v>
      </c>
      <c r="DD596" s="1325"/>
      <c r="DE596" s="1325"/>
      <c r="DF596" s="1325"/>
      <c r="DG596" s="1326"/>
      <c r="DH596" s="1324">
        <f t="shared" si="20"/>
        <v>8</v>
      </c>
      <c r="DI596" s="1325"/>
      <c r="DJ596" s="1325"/>
      <c r="DK596" s="1325"/>
      <c r="DL596" s="1326"/>
      <c r="DM596" s="1324">
        <f t="shared" si="21"/>
        <v>0</v>
      </c>
      <c r="DN596" s="1325"/>
      <c r="DO596" s="1325"/>
      <c r="DP596" s="1325"/>
      <c r="DQ596" s="1326"/>
      <c r="DR596" s="1324">
        <f t="shared" si="22"/>
        <v>0</v>
      </c>
      <c r="DS596" s="1325"/>
      <c r="DT596" s="1325"/>
      <c r="DU596" s="1325"/>
      <c r="DV596" s="1326"/>
    </row>
    <row r="597" spans="1:126" ht="12.9" customHeight="1">
      <c r="A597" s="4"/>
      <c r="B597" t="s">
        <v>430</v>
      </c>
      <c r="G597" s="1080"/>
      <c r="H597" s="1080"/>
      <c r="I597" s="1080"/>
      <c r="J597" s="1080"/>
      <c r="K597" s="1080"/>
      <c r="L597" s="1080"/>
      <c r="M597" s="1080"/>
      <c r="N597" s="1080"/>
      <c r="O597" s="1080"/>
      <c r="P597" s="1080"/>
      <c r="Q597" s="1080"/>
      <c r="R597" s="1080"/>
      <c r="T597" s="4"/>
      <c r="U597" t="s">
        <v>430</v>
      </c>
      <c r="Z597" s="1130"/>
      <c r="AA597" s="1130"/>
      <c r="AB597" s="1130"/>
      <c r="AC597" s="1130"/>
      <c r="AD597" s="1130"/>
      <c r="AE597" s="1130"/>
      <c r="AF597" s="1130"/>
      <c r="AG597" s="1130"/>
      <c r="AH597" s="1130"/>
      <c r="AI597" s="1130"/>
      <c r="AJ597" s="1130"/>
      <c r="AK597" s="1130"/>
      <c r="AZ597" s="41"/>
      <c r="BA597" s="41"/>
      <c r="BB597" s="41"/>
      <c r="BC597" s="41"/>
      <c r="BD597" s="41"/>
      <c r="BE597" s="1318">
        <f t="shared" si="15"/>
        <v>1</v>
      </c>
      <c r="BF597" s="1320"/>
      <c r="BG597" s="1312">
        <f t="shared" si="7"/>
        <v>4</v>
      </c>
      <c r="BH597" s="1314"/>
      <c r="BI597" s="1318">
        <f t="shared" si="16"/>
        <v>0</v>
      </c>
      <c r="BJ597" s="1320"/>
      <c r="BK597" s="1312">
        <f t="shared" si="8"/>
        <v>0</v>
      </c>
      <c r="BL597" s="1314"/>
      <c r="BN597" s="1312">
        <f t="shared" si="9"/>
        <v>0</v>
      </c>
      <c r="BO597" s="1313"/>
      <c r="BP597" s="1313"/>
      <c r="BQ597" s="1313"/>
      <c r="BR597" s="1323"/>
      <c r="BS597" s="1312">
        <f t="shared" si="10"/>
        <v>0</v>
      </c>
      <c r="BT597" s="1313"/>
      <c r="BU597" s="1313"/>
      <c r="BV597" s="1313"/>
      <c r="BW597" s="1314"/>
      <c r="BX597" s="1312">
        <f t="shared" si="11"/>
        <v>0</v>
      </c>
      <c r="BY597" s="1313"/>
      <c r="BZ597" s="1313"/>
      <c r="CA597" s="1313"/>
      <c r="CB597" s="1314"/>
      <c r="CC597" s="1312">
        <f t="shared" si="12"/>
        <v>7</v>
      </c>
      <c r="CD597" s="1313"/>
      <c r="CE597" s="1313"/>
      <c r="CF597" s="1313"/>
      <c r="CG597" s="1314"/>
      <c r="CH597" s="1312">
        <f t="shared" si="13"/>
        <v>0</v>
      </c>
      <c r="CI597" s="1313"/>
      <c r="CJ597" s="1313"/>
      <c r="CK597" s="1313"/>
      <c r="CL597" s="1314"/>
      <c r="CM597" s="1321">
        <f t="shared" si="14"/>
        <v>0</v>
      </c>
      <c r="CN597" s="1322"/>
      <c r="CO597" s="1322"/>
      <c r="CP597" s="1322"/>
      <c r="CQ597" s="1323"/>
      <c r="CS597" s="1324">
        <f t="shared" si="17"/>
        <v>0</v>
      </c>
      <c r="CT597" s="1325"/>
      <c r="CU597" s="1325"/>
      <c r="CV597" s="1325"/>
      <c r="CW597" s="1326"/>
      <c r="CX597" s="1324">
        <f t="shared" si="18"/>
        <v>0</v>
      </c>
      <c r="CY597" s="1325"/>
      <c r="CZ597" s="1325"/>
      <c r="DA597" s="1325"/>
      <c r="DB597" s="1326"/>
      <c r="DC597" s="1324">
        <f t="shared" si="19"/>
        <v>0</v>
      </c>
      <c r="DD597" s="1325"/>
      <c r="DE597" s="1325"/>
      <c r="DF597" s="1325"/>
      <c r="DG597" s="1326"/>
      <c r="DH597" s="1324">
        <f t="shared" si="20"/>
        <v>0</v>
      </c>
      <c r="DI597" s="1325"/>
      <c r="DJ597" s="1325"/>
      <c r="DK597" s="1325"/>
      <c r="DL597" s="1326"/>
      <c r="DM597" s="1324">
        <f t="shared" si="21"/>
        <v>0</v>
      </c>
      <c r="DN597" s="1325"/>
      <c r="DO597" s="1325"/>
      <c r="DP597" s="1325"/>
      <c r="DQ597" s="1326"/>
      <c r="DR597" s="1324">
        <f t="shared" si="22"/>
        <v>0</v>
      </c>
      <c r="DS597" s="1325"/>
      <c r="DT597" s="1325"/>
      <c r="DU597" s="1325"/>
      <c r="DV597" s="1326"/>
    </row>
    <row r="598" spans="1:126" ht="12.9" customHeight="1">
      <c r="A598" s="4"/>
      <c r="B598" t="s">
        <v>833</v>
      </c>
      <c r="G598" s="1080"/>
      <c r="H598" s="1080"/>
      <c r="I598" s="1080"/>
      <c r="J598" s="1080"/>
      <c r="K598" s="1080"/>
      <c r="L598" s="1080"/>
      <c r="M598" s="1080"/>
      <c r="N598" s="1080"/>
      <c r="O598" s="1080"/>
      <c r="P598" s="1080"/>
      <c r="Q598" s="1080"/>
      <c r="R598" s="1080"/>
      <c r="T598" s="4"/>
      <c r="U598" t="s">
        <v>833</v>
      </c>
      <c r="Z598" s="1130"/>
      <c r="AA598" s="1130"/>
      <c r="AB598" s="1130"/>
      <c r="AC598" s="1130"/>
      <c r="AD598" s="1130"/>
      <c r="AE598" s="1130"/>
      <c r="AF598" s="1130"/>
      <c r="AG598" s="1130"/>
      <c r="AH598" s="1130"/>
      <c r="AI598" s="1130"/>
      <c r="AJ598" s="1130"/>
      <c r="AK598" s="1130"/>
      <c r="AZ598" s="41"/>
      <c r="BA598" s="41"/>
      <c r="BB598" s="41"/>
      <c r="BC598" s="41"/>
      <c r="BD598" s="41"/>
      <c r="BE598" s="1318">
        <f t="shared" si="15"/>
        <v>1</v>
      </c>
      <c r="BF598" s="1320"/>
      <c r="BG598" s="1312">
        <f t="shared" si="7"/>
        <v>7</v>
      </c>
      <c r="BH598" s="1314"/>
      <c r="BI598" s="1318">
        <f t="shared" si="16"/>
        <v>0</v>
      </c>
      <c r="BJ598" s="1320"/>
      <c r="BK598" s="1312">
        <f t="shared" si="8"/>
        <v>0</v>
      </c>
      <c r="BL598" s="1314"/>
      <c r="BN598" s="1312">
        <f t="shared" si="9"/>
        <v>0</v>
      </c>
      <c r="BO598" s="1313"/>
      <c r="BP598" s="1313"/>
      <c r="BQ598" s="1313"/>
      <c r="BR598" s="1323"/>
      <c r="BS598" s="1312">
        <f t="shared" si="10"/>
        <v>0</v>
      </c>
      <c r="BT598" s="1313"/>
      <c r="BU598" s="1313"/>
      <c r="BV598" s="1313"/>
      <c r="BW598" s="1314"/>
      <c r="BX598" s="1312">
        <f t="shared" si="11"/>
        <v>0</v>
      </c>
      <c r="BY598" s="1313"/>
      <c r="BZ598" s="1313"/>
      <c r="CA598" s="1313"/>
      <c r="CB598" s="1314"/>
      <c r="CC598" s="1312">
        <f t="shared" si="12"/>
        <v>13</v>
      </c>
      <c r="CD598" s="1313"/>
      <c r="CE598" s="1313"/>
      <c r="CF598" s="1313"/>
      <c r="CG598" s="1314"/>
      <c r="CH598" s="1312">
        <f t="shared" si="13"/>
        <v>0</v>
      </c>
      <c r="CI598" s="1313"/>
      <c r="CJ598" s="1313"/>
      <c r="CK598" s="1313"/>
      <c r="CL598" s="1314"/>
      <c r="CM598" s="1321">
        <f t="shared" si="14"/>
        <v>0</v>
      </c>
      <c r="CN598" s="1322"/>
      <c r="CO598" s="1322"/>
      <c r="CP598" s="1322"/>
      <c r="CQ598" s="1323"/>
      <c r="CS598" s="1324">
        <f t="shared" si="17"/>
        <v>0</v>
      </c>
      <c r="CT598" s="1325"/>
      <c r="CU598" s="1325"/>
      <c r="CV598" s="1325"/>
      <c r="CW598" s="1326"/>
      <c r="CX598" s="1324">
        <f t="shared" si="18"/>
        <v>0</v>
      </c>
      <c r="CY598" s="1325"/>
      <c r="CZ598" s="1325"/>
      <c r="DA598" s="1325"/>
      <c r="DB598" s="1326"/>
      <c r="DC598" s="1324">
        <f t="shared" si="19"/>
        <v>0</v>
      </c>
      <c r="DD598" s="1325"/>
      <c r="DE598" s="1325"/>
      <c r="DF598" s="1325"/>
      <c r="DG598" s="1326"/>
      <c r="DH598" s="1324">
        <f t="shared" si="20"/>
        <v>0</v>
      </c>
      <c r="DI598" s="1325"/>
      <c r="DJ598" s="1325"/>
      <c r="DK598" s="1325"/>
      <c r="DL598" s="1326"/>
      <c r="DM598" s="1324">
        <f t="shared" si="21"/>
        <v>0</v>
      </c>
      <c r="DN598" s="1325"/>
      <c r="DO598" s="1325"/>
      <c r="DP598" s="1325"/>
      <c r="DQ598" s="1326"/>
      <c r="DR598" s="1324">
        <f t="shared" si="22"/>
        <v>0</v>
      </c>
      <c r="DS598" s="1325"/>
      <c r="DT598" s="1325"/>
      <c r="DU598" s="1325"/>
      <c r="DV598" s="1326"/>
    </row>
    <row r="599" spans="1:126" ht="12.9" customHeight="1">
      <c r="A599" s="4"/>
      <c r="B599" t="s">
        <v>650</v>
      </c>
      <c r="G599" s="1090"/>
      <c r="H599" s="1090"/>
      <c r="I599" s="1090"/>
      <c r="J599" s="1090"/>
      <c r="K599" s="1090"/>
      <c r="L599" s="1090"/>
      <c r="O599" s="42" t="s">
        <v>818</v>
      </c>
      <c r="P599" s="1310"/>
      <c r="Q599" s="1310"/>
      <c r="R599" s="1310"/>
      <c r="T599" s="4"/>
      <c r="U599" t="s">
        <v>650</v>
      </c>
      <c r="Z599" s="1090"/>
      <c r="AA599" s="1090"/>
      <c r="AB599" s="1090"/>
      <c r="AC599" s="1090"/>
      <c r="AD599" s="1090"/>
      <c r="AE599" s="1090"/>
      <c r="AH599" s="42" t="s">
        <v>818</v>
      </c>
      <c r="AI599" s="1310"/>
      <c r="AJ599" s="1310"/>
      <c r="AK599" s="1310"/>
      <c r="AZ599" s="41"/>
      <c r="BA599" s="41"/>
      <c r="BB599" s="41"/>
      <c r="BC599" s="41"/>
      <c r="BD599" s="41"/>
      <c r="BE599" s="1318">
        <f t="shared" si="15"/>
        <v>0</v>
      </c>
      <c r="BF599" s="1320"/>
      <c r="BG599" s="1312">
        <f t="shared" si="7"/>
        <v>0</v>
      </c>
      <c r="BH599" s="1314"/>
      <c r="BI599" s="1318">
        <f t="shared" si="16"/>
        <v>0</v>
      </c>
      <c r="BJ599" s="1320"/>
      <c r="BK599" s="1312">
        <f t="shared" si="8"/>
        <v>0</v>
      </c>
      <c r="BL599" s="1314"/>
      <c r="BN599" s="1312">
        <f t="shared" si="9"/>
        <v>0</v>
      </c>
      <c r="BO599" s="1313"/>
      <c r="BP599" s="1313"/>
      <c r="BQ599" s="1313"/>
      <c r="BR599" s="1323"/>
      <c r="BS599" s="1312">
        <f t="shared" si="10"/>
        <v>0</v>
      </c>
      <c r="BT599" s="1313"/>
      <c r="BU599" s="1313"/>
      <c r="BV599" s="1313"/>
      <c r="BW599" s="1314"/>
      <c r="BX599" s="1312">
        <f t="shared" si="11"/>
        <v>0</v>
      </c>
      <c r="BY599" s="1313"/>
      <c r="BZ599" s="1313"/>
      <c r="CA599" s="1313"/>
      <c r="CB599" s="1314"/>
      <c r="CC599" s="1312">
        <f t="shared" si="12"/>
        <v>0</v>
      </c>
      <c r="CD599" s="1313"/>
      <c r="CE599" s="1313"/>
      <c r="CF599" s="1313"/>
      <c r="CG599" s="1314"/>
      <c r="CH599" s="1312">
        <f t="shared" si="13"/>
        <v>0</v>
      </c>
      <c r="CI599" s="1313"/>
      <c r="CJ599" s="1313"/>
      <c r="CK599" s="1313"/>
      <c r="CL599" s="1314"/>
      <c r="CM599" s="1321">
        <f t="shared" si="14"/>
        <v>0</v>
      </c>
      <c r="CN599" s="1322"/>
      <c r="CO599" s="1322"/>
      <c r="CP599" s="1322"/>
      <c r="CQ599" s="1323"/>
      <c r="CS599" s="1324">
        <f t="shared" si="17"/>
        <v>0</v>
      </c>
      <c r="CT599" s="1325"/>
      <c r="CU599" s="1325"/>
      <c r="CV599" s="1325"/>
      <c r="CW599" s="1326"/>
      <c r="CX599" s="1324">
        <f t="shared" si="18"/>
        <v>0</v>
      </c>
      <c r="CY599" s="1325"/>
      <c r="CZ599" s="1325"/>
      <c r="DA599" s="1325"/>
      <c r="DB599" s="1326"/>
      <c r="DC599" s="1324">
        <f t="shared" si="19"/>
        <v>0</v>
      </c>
      <c r="DD599" s="1325"/>
      <c r="DE599" s="1325"/>
      <c r="DF599" s="1325"/>
      <c r="DG599" s="1326"/>
      <c r="DH599" s="1324">
        <f t="shared" si="20"/>
        <v>0</v>
      </c>
      <c r="DI599" s="1325"/>
      <c r="DJ599" s="1325"/>
      <c r="DK599" s="1325"/>
      <c r="DL599" s="1326"/>
      <c r="DM599" s="1324">
        <f t="shared" si="21"/>
        <v>0</v>
      </c>
      <c r="DN599" s="1325"/>
      <c r="DO599" s="1325"/>
      <c r="DP599" s="1325"/>
      <c r="DQ599" s="1326"/>
      <c r="DR599" s="1324">
        <f t="shared" si="22"/>
        <v>0</v>
      </c>
      <c r="DS599" s="1325"/>
      <c r="DT599" s="1325"/>
      <c r="DU599" s="1325"/>
      <c r="DV599" s="1326"/>
    </row>
    <row r="600" spans="1:126" s="5" customFormat="1" ht="12.9" customHeight="1">
      <c r="A600" s="4"/>
      <c r="B600" t="s">
        <v>834</v>
      </c>
      <c r="C600"/>
      <c r="D600"/>
      <c r="E600"/>
      <c r="F600"/>
      <c r="G600"/>
      <c r="H600" s="1080"/>
      <c r="I600" s="1080"/>
      <c r="J600" s="1080"/>
      <c r="K600" s="1080"/>
      <c r="L600" s="1080"/>
      <c r="M600" s="1080"/>
      <c r="N600" s="1080"/>
      <c r="O600" s="1080"/>
      <c r="P600" s="1080"/>
      <c r="Q600" s="1080"/>
      <c r="R600" s="1080"/>
      <c r="S600"/>
      <c r="T600" s="4"/>
      <c r="U600" t="s">
        <v>834</v>
      </c>
      <c r="V600"/>
      <c r="W600"/>
      <c r="X600"/>
      <c r="Y600"/>
      <c r="Z600"/>
      <c r="AA600" s="1080"/>
      <c r="AB600" s="1080"/>
      <c r="AC600" s="1080"/>
      <c r="AD600" s="1080"/>
      <c r="AE600" s="1080"/>
      <c r="AF600" s="1080"/>
      <c r="AG600" s="1080"/>
      <c r="AH600" s="1080"/>
      <c r="AI600" s="1080"/>
      <c r="AJ600" s="1080"/>
      <c r="AK600" s="1080"/>
      <c r="AL600"/>
      <c r="AZ600" s="41"/>
      <c r="BA600" s="41"/>
      <c r="BB600" s="41"/>
      <c r="BC600" s="41"/>
      <c r="BD600" s="41"/>
      <c r="BE600" s="1318">
        <f t="shared" si="15"/>
        <v>0</v>
      </c>
      <c r="BF600" s="1320"/>
      <c r="BG600" s="1312">
        <f t="shared" si="7"/>
        <v>0</v>
      </c>
      <c r="BH600" s="1314"/>
      <c r="BI600" s="1318">
        <f t="shared" si="16"/>
        <v>0</v>
      </c>
      <c r="BJ600" s="1320"/>
      <c r="BK600" s="1312">
        <f t="shared" si="8"/>
        <v>0</v>
      </c>
      <c r="BL600" s="1314"/>
      <c r="BN600" s="1312">
        <f t="shared" si="9"/>
        <v>0</v>
      </c>
      <c r="BO600" s="1313"/>
      <c r="BP600" s="1313"/>
      <c r="BQ600" s="1313"/>
      <c r="BR600" s="1323"/>
      <c r="BS600" s="1312">
        <f t="shared" si="10"/>
        <v>0</v>
      </c>
      <c r="BT600" s="1313"/>
      <c r="BU600" s="1313"/>
      <c r="BV600" s="1313"/>
      <c r="BW600" s="1314"/>
      <c r="BX600" s="1312">
        <f t="shared" si="11"/>
        <v>0</v>
      </c>
      <c r="BY600" s="1313"/>
      <c r="BZ600" s="1313"/>
      <c r="CA600" s="1313"/>
      <c r="CB600" s="1314"/>
      <c r="CC600" s="1312">
        <f t="shared" si="12"/>
        <v>0</v>
      </c>
      <c r="CD600" s="1313"/>
      <c r="CE600" s="1313"/>
      <c r="CF600" s="1313"/>
      <c r="CG600" s="1314"/>
      <c r="CH600" s="1312">
        <f t="shared" si="13"/>
        <v>0</v>
      </c>
      <c r="CI600" s="1313"/>
      <c r="CJ600" s="1313"/>
      <c r="CK600" s="1313"/>
      <c r="CL600" s="1314"/>
      <c r="CM600" s="1321">
        <f t="shared" si="14"/>
        <v>0</v>
      </c>
      <c r="CN600" s="1322"/>
      <c r="CO600" s="1322"/>
      <c r="CP600" s="1322"/>
      <c r="CQ600" s="1323"/>
      <c r="CS600" s="1324">
        <f t="shared" si="17"/>
        <v>0</v>
      </c>
      <c r="CT600" s="1325"/>
      <c r="CU600" s="1325"/>
      <c r="CV600" s="1325"/>
      <c r="CW600" s="1326"/>
      <c r="CX600" s="1324">
        <f t="shared" si="18"/>
        <v>0</v>
      </c>
      <c r="CY600" s="1325"/>
      <c r="CZ600" s="1325"/>
      <c r="DA600" s="1325"/>
      <c r="DB600" s="1326"/>
      <c r="DC600" s="1324">
        <f t="shared" si="19"/>
        <v>0</v>
      </c>
      <c r="DD600" s="1325"/>
      <c r="DE600" s="1325"/>
      <c r="DF600" s="1325"/>
      <c r="DG600" s="1326"/>
      <c r="DH600" s="1324">
        <f t="shared" si="20"/>
        <v>0</v>
      </c>
      <c r="DI600" s="1325"/>
      <c r="DJ600" s="1325"/>
      <c r="DK600" s="1325"/>
      <c r="DL600" s="1326"/>
      <c r="DM600" s="1324">
        <f t="shared" si="21"/>
        <v>0</v>
      </c>
      <c r="DN600" s="1325"/>
      <c r="DO600" s="1325"/>
      <c r="DP600" s="1325"/>
      <c r="DQ600" s="1326"/>
      <c r="DR600" s="1324">
        <f t="shared" si="22"/>
        <v>0</v>
      </c>
      <c r="DS600" s="1325"/>
      <c r="DT600" s="1325"/>
      <c r="DU600" s="1325"/>
      <c r="DV600" s="1326"/>
    </row>
    <row r="601" spans="1:126" s="5" customFormat="1" ht="12.9" customHeight="1">
      <c r="A601" s="4"/>
      <c r="B601" t="s">
        <v>836</v>
      </c>
      <c r="C601"/>
      <c r="D601"/>
      <c r="E601"/>
      <c r="F601"/>
      <c r="G601"/>
      <c r="H601"/>
      <c r="I601"/>
      <c r="J601"/>
      <c r="K601"/>
      <c r="L601"/>
      <c r="M601"/>
      <c r="N601" s="1132" t="s">
        <v>482</v>
      </c>
      <c r="O601" s="1132"/>
      <c r="P601"/>
      <c r="Q601"/>
      <c r="R601"/>
      <c r="S601"/>
      <c r="T601" s="4"/>
      <c r="U601" t="s">
        <v>836</v>
      </c>
      <c r="V601"/>
      <c r="W601"/>
      <c r="X601"/>
      <c r="Y601"/>
      <c r="Z601"/>
      <c r="AA601"/>
      <c r="AB601"/>
      <c r="AC601"/>
      <c r="AD601"/>
      <c r="AE601"/>
      <c r="AF601"/>
      <c r="AG601" s="1132" t="s">
        <v>482</v>
      </c>
      <c r="AH601" s="1132"/>
      <c r="AI601"/>
      <c r="AJ601"/>
      <c r="AK601"/>
      <c r="AL601"/>
      <c r="AZ601" s="41"/>
      <c r="BA601" s="41"/>
      <c r="BB601" s="41"/>
      <c r="BC601" s="41"/>
      <c r="BD601" s="41"/>
      <c r="BE601" s="1318">
        <f t="shared" si="15"/>
        <v>0</v>
      </c>
      <c r="BF601" s="1320"/>
      <c r="BG601" s="1312">
        <f t="shared" si="7"/>
        <v>0</v>
      </c>
      <c r="BH601" s="1314"/>
      <c r="BI601" s="1318">
        <f t="shared" si="16"/>
        <v>0</v>
      </c>
      <c r="BJ601" s="1320"/>
      <c r="BK601" s="1312">
        <f t="shared" si="8"/>
        <v>0</v>
      </c>
      <c r="BL601" s="1314"/>
      <c r="BN601" s="1312">
        <f t="shared" si="9"/>
        <v>0</v>
      </c>
      <c r="BO601" s="1313"/>
      <c r="BP601" s="1313"/>
      <c r="BQ601" s="1313"/>
      <c r="BR601" s="1323"/>
      <c r="BS601" s="1312">
        <f t="shared" si="10"/>
        <v>0</v>
      </c>
      <c r="BT601" s="1313"/>
      <c r="BU601" s="1313"/>
      <c r="BV601" s="1313"/>
      <c r="BW601" s="1314"/>
      <c r="BX601" s="1312">
        <f t="shared" si="11"/>
        <v>0</v>
      </c>
      <c r="BY601" s="1313"/>
      <c r="BZ601" s="1313"/>
      <c r="CA601" s="1313"/>
      <c r="CB601" s="1314"/>
      <c r="CC601" s="1312">
        <f t="shared" si="12"/>
        <v>0</v>
      </c>
      <c r="CD601" s="1313"/>
      <c r="CE601" s="1313"/>
      <c r="CF601" s="1313"/>
      <c r="CG601" s="1314"/>
      <c r="CH601" s="1312">
        <f t="shared" si="13"/>
        <v>0</v>
      </c>
      <c r="CI601" s="1313"/>
      <c r="CJ601" s="1313"/>
      <c r="CK601" s="1313"/>
      <c r="CL601" s="1314"/>
      <c r="CM601" s="1321">
        <f t="shared" si="14"/>
        <v>0</v>
      </c>
      <c r="CN601" s="1322"/>
      <c r="CO601" s="1322"/>
      <c r="CP601" s="1322"/>
      <c r="CQ601" s="1323"/>
      <c r="CS601" s="1324">
        <f t="shared" si="17"/>
        <v>0</v>
      </c>
      <c r="CT601" s="1325"/>
      <c r="CU601" s="1325"/>
      <c r="CV601" s="1325"/>
      <c r="CW601" s="1326"/>
      <c r="CX601" s="1324">
        <f t="shared" si="18"/>
        <v>0</v>
      </c>
      <c r="CY601" s="1325"/>
      <c r="CZ601" s="1325"/>
      <c r="DA601" s="1325"/>
      <c r="DB601" s="1326"/>
      <c r="DC601" s="1324">
        <f t="shared" si="19"/>
        <v>0</v>
      </c>
      <c r="DD601" s="1325"/>
      <c r="DE601" s="1325"/>
      <c r="DF601" s="1325"/>
      <c r="DG601" s="1326"/>
      <c r="DH601" s="1324">
        <f t="shared" si="20"/>
        <v>0</v>
      </c>
      <c r="DI601" s="1325"/>
      <c r="DJ601" s="1325"/>
      <c r="DK601" s="1325"/>
      <c r="DL601" s="1326"/>
      <c r="DM601" s="1324">
        <f t="shared" si="21"/>
        <v>0</v>
      </c>
      <c r="DN601" s="1325"/>
      <c r="DO601" s="1325"/>
      <c r="DP601" s="1325"/>
      <c r="DQ601" s="1326"/>
      <c r="DR601" s="1324">
        <f t="shared" si="22"/>
        <v>0</v>
      </c>
      <c r="DS601" s="1325"/>
      <c r="DT601" s="1325"/>
      <c r="DU601" s="1325"/>
      <c r="DV601" s="1326"/>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318">
        <f t="shared" si="15"/>
        <v>0</v>
      </c>
      <c r="BF602" s="1320"/>
      <c r="BG602" s="1312">
        <f t="shared" si="7"/>
        <v>0</v>
      </c>
      <c r="BH602" s="1314"/>
      <c r="BI602" s="1318">
        <f t="shared" si="16"/>
        <v>0</v>
      </c>
      <c r="BJ602" s="1320"/>
      <c r="BK602" s="1312">
        <f t="shared" si="8"/>
        <v>0</v>
      </c>
      <c r="BL602" s="1314"/>
      <c r="BN602" s="1312">
        <f t="shared" si="9"/>
        <v>0</v>
      </c>
      <c r="BO602" s="1313"/>
      <c r="BP602" s="1313"/>
      <c r="BQ602" s="1313"/>
      <c r="BR602" s="1323"/>
      <c r="BS602" s="1312">
        <f t="shared" si="10"/>
        <v>0</v>
      </c>
      <c r="BT602" s="1313"/>
      <c r="BU602" s="1313"/>
      <c r="BV602" s="1313"/>
      <c r="BW602" s="1314"/>
      <c r="BX602" s="1312">
        <f t="shared" si="11"/>
        <v>0</v>
      </c>
      <c r="BY602" s="1313"/>
      <c r="BZ602" s="1313"/>
      <c r="CA602" s="1313"/>
      <c r="CB602" s="1314"/>
      <c r="CC602" s="1312">
        <f t="shared" si="12"/>
        <v>0</v>
      </c>
      <c r="CD602" s="1313"/>
      <c r="CE602" s="1313"/>
      <c r="CF602" s="1313"/>
      <c r="CG602" s="1314"/>
      <c r="CH602" s="1312">
        <f t="shared" si="13"/>
        <v>0</v>
      </c>
      <c r="CI602" s="1313"/>
      <c r="CJ602" s="1313"/>
      <c r="CK602" s="1313"/>
      <c r="CL602" s="1314"/>
      <c r="CM602" s="1321">
        <f t="shared" si="14"/>
        <v>0</v>
      </c>
      <c r="CN602" s="1322"/>
      <c r="CO602" s="1322"/>
      <c r="CP602" s="1322"/>
      <c r="CQ602" s="1323"/>
      <c r="CS602" s="1324">
        <f t="shared" si="17"/>
        <v>0</v>
      </c>
      <c r="CT602" s="1325"/>
      <c r="CU602" s="1325"/>
      <c r="CV602" s="1325"/>
      <c r="CW602" s="1326"/>
      <c r="CX602" s="1324">
        <f t="shared" si="18"/>
        <v>0</v>
      </c>
      <c r="CY602" s="1325"/>
      <c r="CZ602" s="1325"/>
      <c r="DA602" s="1325"/>
      <c r="DB602" s="1326"/>
      <c r="DC602" s="1324">
        <f t="shared" si="19"/>
        <v>0</v>
      </c>
      <c r="DD602" s="1325"/>
      <c r="DE602" s="1325"/>
      <c r="DF602" s="1325"/>
      <c r="DG602" s="1326"/>
      <c r="DH602" s="1324">
        <f t="shared" si="20"/>
        <v>0</v>
      </c>
      <c r="DI602" s="1325"/>
      <c r="DJ602" s="1325"/>
      <c r="DK602" s="1325"/>
      <c r="DL602" s="1326"/>
      <c r="DM602" s="1324">
        <f t="shared" si="21"/>
        <v>0</v>
      </c>
      <c r="DN602" s="1325"/>
      <c r="DO602" s="1325"/>
      <c r="DP602" s="1325"/>
      <c r="DQ602" s="1326"/>
      <c r="DR602" s="1324">
        <f t="shared" si="22"/>
        <v>0</v>
      </c>
      <c r="DS602" s="1325"/>
      <c r="DT602" s="1325"/>
      <c r="DU602" s="1325"/>
      <c r="DV602" s="1326"/>
    </row>
    <row r="603" spans="1:126" ht="12.9" customHeight="1">
      <c r="A603" s="61" t="s">
        <v>32</v>
      </c>
      <c r="B603" t="s">
        <v>82</v>
      </c>
      <c r="G603" s="1131">
        <f>C559</f>
        <v>0</v>
      </c>
      <c r="H603" s="1131"/>
      <c r="I603" s="1131"/>
      <c r="J603" s="1131"/>
      <c r="K603" s="1131"/>
      <c r="L603" s="1131"/>
      <c r="M603" s="1131"/>
      <c r="N603" s="1131"/>
      <c r="O603" s="1131"/>
      <c r="P603" s="1131"/>
      <c r="Q603" s="1131"/>
      <c r="R603" s="1131"/>
      <c r="T603" s="61" t="s">
        <v>33</v>
      </c>
      <c r="U603" t="s">
        <v>82</v>
      </c>
      <c r="Z603" s="1131">
        <f>C560</f>
        <v>0</v>
      </c>
      <c r="AA603" s="1131"/>
      <c r="AB603" s="1131"/>
      <c r="AC603" s="1131"/>
      <c r="AD603" s="1131"/>
      <c r="AE603" s="1131"/>
      <c r="AF603" s="1131"/>
      <c r="AG603" s="1131"/>
      <c r="AH603" s="1131"/>
      <c r="AI603" s="1131"/>
      <c r="AJ603" s="1131"/>
      <c r="AK603" s="1131"/>
      <c r="AZ603" s="41"/>
      <c r="BA603" s="41"/>
      <c r="BB603" s="41"/>
      <c r="BC603" s="41"/>
      <c r="BD603" s="41"/>
      <c r="BE603" s="1318">
        <f t="shared" si="15"/>
        <v>0</v>
      </c>
      <c r="BF603" s="1320"/>
      <c r="BG603" s="1312">
        <f t="shared" si="7"/>
        <v>0</v>
      </c>
      <c r="BH603" s="1314"/>
      <c r="BI603" s="1318">
        <f t="shared" si="16"/>
        <v>0</v>
      </c>
      <c r="BJ603" s="1320"/>
      <c r="BK603" s="1312">
        <f t="shared" si="8"/>
        <v>0</v>
      </c>
      <c r="BL603" s="1314"/>
      <c r="BN603" s="1312">
        <f t="shared" si="9"/>
        <v>0</v>
      </c>
      <c r="BO603" s="1313"/>
      <c r="BP603" s="1313"/>
      <c r="BQ603" s="1313"/>
      <c r="BR603" s="1323"/>
      <c r="BS603" s="1312">
        <f t="shared" si="10"/>
        <v>0</v>
      </c>
      <c r="BT603" s="1313"/>
      <c r="BU603" s="1313"/>
      <c r="BV603" s="1313"/>
      <c r="BW603" s="1314"/>
      <c r="BX603" s="1312">
        <f t="shared" si="11"/>
        <v>0</v>
      </c>
      <c r="BY603" s="1313"/>
      <c r="BZ603" s="1313"/>
      <c r="CA603" s="1313"/>
      <c r="CB603" s="1314"/>
      <c r="CC603" s="1312">
        <f t="shared" si="12"/>
        <v>0</v>
      </c>
      <c r="CD603" s="1313"/>
      <c r="CE603" s="1313"/>
      <c r="CF603" s="1313"/>
      <c r="CG603" s="1314"/>
      <c r="CH603" s="1312">
        <f t="shared" si="13"/>
        <v>0</v>
      </c>
      <c r="CI603" s="1313"/>
      <c r="CJ603" s="1313"/>
      <c r="CK603" s="1313"/>
      <c r="CL603" s="1314"/>
      <c r="CM603" s="1321">
        <f t="shared" si="14"/>
        <v>0</v>
      </c>
      <c r="CN603" s="1322"/>
      <c r="CO603" s="1322"/>
      <c r="CP603" s="1322"/>
      <c r="CQ603" s="1323"/>
      <c r="CS603" s="1324">
        <f t="shared" si="17"/>
        <v>0</v>
      </c>
      <c r="CT603" s="1325"/>
      <c r="CU603" s="1325"/>
      <c r="CV603" s="1325"/>
      <c r="CW603" s="1326"/>
      <c r="CX603" s="1324">
        <f t="shared" si="18"/>
        <v>0</v>
      </c>
      <c r="CY603" s="1325"/>
      <c r="CZ603" s="1325"/>
      <c r="DA603" s="1325"/>
      <c r="DB603" s="1326"/>
      <c r="DC603" s="1324">
        <f t="shared" si="19"/>
        <v>0</v>
      </c>
      <c r="DD603" s="1325"/>
      <c r="DE603" s="1325"/>
      <c r="DF603" s="1325"/>
      <c r="DG603" s="1326"/>
      <c r="DH603" s="1324">
        <f t="shared" si="20"/>
        <v>0</v>
      </c>
      <c r="DI603" s="1325"/>
      <c r="DJ603" s="1325"/>
      <c r="DK603" s="1325"/>
      <c r="DL603" s="1326"/>
      <c r="DM603" s="1324">
        <f t="shared" si="21"/>
        <v>0</v>
      </c>
      <c r="DN603" s="1325"/>
      <c r="DO603" s="1325"/>
      <c r="DP603" s="1325"/>
      <c r="DQ603" s="1326"/>
      <c r="DR603" s="1324">
        <f t="shared" si="22"/>
        <v>0</v>
      </c>
      <c r="DS603" s="1325"/>
      <c r="DT603" s="1325"/>
      <c r="DU603" s="1325"/>
      <c r="DV603" s="1326"/>
    </row>
    <row r="604" spans="1:126" ht="12.9" customHeight="1">
      <c r="B604" t="s">
        <v>372</v>
      </c>
      <c r="G604" s="1080"/>
      <c r="H604" s="1080"/>
      <c r="I604" s="1080"/>
      <c r="J604" s="1080"/>
      <c r="K604" s="1080"/>
      <c r="L604" s="1080"/>
      <c r="M604" s="1080"/>
      <c r="N604" s="1080"/>
      <c r="O604" s="1080"/>
      <c r="P604" s="1080"/>
      <c r="Q604" s="1080"/>
      <c r="R604" s="1080"/>
      <c r="U604" t="s">
        <v>372</v>
      </c>
      <c r="Z604" s="1080"/>
      <c r="AA604" s="1080"/>
      <c r="AB604" s="1080"/>
      <c r="AC604" s="1080"/>
      <c r="AD604" s="1080"/>
      <c r="AE604" s="1080"/>
      <c r="AF604" s="1080"/>
      <c r="AG604" s="1080"/>
      <c r="AH604" s="1080"/>
      <c r="AI604" s="1080"/>
      <c r="AJ604" s="1080"/>
      <c r="AK604" s="1080"/>
      <c r="AZ604" s="41"/>
      <c r="BA604" s="41"/>
      <c r="BB604" s="41"/>
      <c r="BC604" s="41"/>
      <c r="BD604" s="41"/>
      <c r="BE604" s="1318">
        <f t="shared" si="15"/>
        <v>0</v>
      </c>
      <c r="BF604" s="1320"/>
      <c r="BG604" s="1312">
        <f t="shared" si="7"/>
        <v>0</v>
      </c>
      <c r="BH604" s="1314"/>
      <c r="BI604" s="1318">
        <f t="shared" si="16"/>
        <v>0</v>
      </c>
      <c r="BJ604" s="1320"/>
      <c r="BK604" s="1312">
        <f t="shared" si="8"/>
        <v>0</v>
      </c>
      <c r="BL604" s="1314"/>
      <c r="BN604" s="1312">
        <f t="shared" si="9"/>
        <v>0</v>
      </c>
      <c r="BO604" s="1313"/>
      <c r="BP604" s="1313"/>
      <c r="BQ604" s="1313"/>
      <c r="BR604" s="1323"/>
      <c r="BS604" s="1312">
        <f t="shared" si="10"/>
        <v>0</v>
      </c>
      <c r="BT604" s="1313"/>
      <c r="BU604" s="1313"/>
      <c r="BV604" s="1313"/>
      <c r="BW604" s="1314"/>
      <c r="BX604" s="1312">
        <f t="shared" si="11"/>
        <v>0</v>
      </c>
      <c r="BY604" s="1313"/>
      <c r="BZ604" s="1313"/>
      <c r="CA604" s="1313"/>
      <c r="CB604" s="1314"/>
      <c r="CC604" s="1312">
        <f t="shared" si="12"/>
        <v>0</v>
      </c>
      <c r="CD604" s="1313"/>
      <c r="CE604" s="1313"/>
      <c r="CF604" s="1313"/>
      <c r="CG604" s="1314"/>
      <c r="CH604" s="1312">
        <f t="shared" si="13"/>
        <v>0</v>
      </c>
      <c r="CI604" s="1313"/>
      <c r="CJ604" s="1313"/>
      <c r="CK604" s="1313"/>
      <c r="CL604" s="1314"/>
      <c r="CM604" s="1321">
        <f t="shared" si="14"/>
        <v>0</v>
      </c>
      <c r="CN604" s="1322"/>
      <c r="CO604" s="1322"/>
      <c r="CP604" s="1322"/>
      <c r="CQ604" s="1323"/>
      <c r="CS604" s="1324">
        <f t="shared" si="17"/>
        <v>0</v>
      </c>
      <c r="CT604" s="1325"/>
      <c r="CU604" s="1325"/>
      <c r="CV604" s="1325"/>
      <c r="CW604" s="1326"/>
      <c r="CX604" s="1324">
        <f t="shared" si="18"/>
        <v>0</v>
      </c>
      <c r="CY604" s="1325"/>
      <c r="CZ604" s="1325"/>
      <c r="DA604" s="1325"/>
      <c r="DB604" s="1326"/>
      <c r="DC604" s="1324">
        <f t="shared" si="19"/>
        <v>0</v>
      </c>
      <c r="DD604" s="1325"/>
      <c r="DE604" s="1325"/>
      <c r="DF604" s="1325"/>
      <c r="DG604" s="1326"/>
      <c r="DH604" s="1324">
        <f t="shared" si="20"/>
        <v>0</v>
      </c>
      <c r="DI604" s="1325"/>
      <c r="DJ604" s="1325"/>
      <c r="DK604" s="1325"/>
      <c r="DL604" s="1326"/>
      <c r="DM604" s="1324">
        <f t="shared" si="21"/>
        <v>0</v>
      </c>
      <c r="DN604" s="1325"/>
      <c r="DO604" s="1325"/>
      <c r="DP604" s="1325"/>
      <c r="DQ604" s="1326"/>
      <c r="DR604" s="1324">
        <f t="shared" si="22"/>
        <v>0</v>
      </c>
      <c r="DS604" s="1325"/>
      <c r="DT604" s="1325"/>
      <c r="DU604" s="1325"/>
      <c r="DV604" s="1326"/>
    </row>
    <row r="605" spans="1:126" ht="12.9" customHeight="1">
      <c r="B605" t="s">
        <v>430</v>
      </c>
      <c r="G605" s="1080"/>
      <c r="H605" s="1080"/>
      <c r="I605" s="1080"/>
      <c r="J605" s="1080"/>
      <c r="K605" s="1080"/>
      <c r="L605" s="1080"/>
      <c r="M605" s="1080"/>
      <c r="N605" s="1080"/>
      <c r="O605" s="1080"/>
      <c r="P605" s="1080"/>
      <c r="Q605" s="1080"/>
      <c r="R605" s="1080"/>
      <c r="U605" t="s">
        <v>430</v>
      </c>
      <c r="Z605" s="1130"/>
      <c r="AA605" s="1130"/>
      <c r="AB605" s="1130"/>
      <c r="AC605" s="1130"/>
      <c r="AD605" s="1130"/>
      <c r="AE605" s="1130"/>
      <c r="AF605" s="1130"/>
      <c r="AG605" s="1130"/>
      <c r="AH605" s="1130"/>
      <c r="AI605" s="1130"/>
      <c r="AJ605" s="1130"/>
      <c r="AK605" s="1130"/>
      <c r="AL605" s="305"/>
      <c r="BA605" s="41"/>
      <c r="BB605" s="41"/>
      <c r="BC605" s="41"/>
      <c r="BD605" s="41"/>
      <c r="BE605" s="1318">
        <f t="shared" si="15"/>
        <v>0</v>
      </c>
      <c r="BF605" s="1320"/>
      <c r="BG605" s="1312">
        <f t="shared" si="7"/>
        <v>0</v>
      </c>
      <c r="BH605" s="1314"/>
      <c r="BI605" s="1318">
        <f t="shared" si="16"/>
        <v>0</v>
      </c>
      <c r="BJ605" s="1320"/>
      <c r="BK605" s="1312">
        <f t="shared" si="8"/>
        <v>0</v>
      </c>
      <c r="BL605" s="1314"/>
      <c r="BN605" s="1312">
        <f t="shared" si="9"/>
        <v>0</v>
      </c>
      <c r="BO605" s="1313"/>
      <c r="BP605" s="1313"/>
      <c r="BQ605" s="1313"/>
      <c r="BR605" s="1323"/>
      <c r="BS605" s="1312">
        <f t="shared" si="10"/>
        <v>0</v>
      </c>
      <c r="BT605" s="1313"/>
      <c r="BU605" s="1313"/>
      <c r="BV605" s="1313"/>
      <c r="BW605" s="1314"/>
      <c r="BX605" s="1312">
        <f t="shared" si="11"/>
        <v>0</v>
      </c>
      <c r="BY605" s="1313"/>
      <c r="BZ605" s="1313"/>
      <c r="CA605" s="1313"/>
      <c r="CB605" s="1314"/>
      <c r="CC605" s="1312">
        <f t="shared" si="12"/>
        <v>0</v>
      </c>
      <c r="CD605" s="1313"/>
      <c r="CE605" s="1313"/>
      <c r="CF605" s="1313"/>
      <c r="CG605" s="1314"/>
      <c r="CH605" s="1312">
        <f t="shared" si="13"/>
        <v>0</v>
      </c>
      <c r="CI605" s="1313"/>
      <c r="CJ605" s="1313"/>
      <c r="CK605" s="1313"/>
      <c r="CL605" s="1314"/>
      <c r="CM605" s="1321">
        <f t="shared" si="14"/>
        <v>0</v>
      </c>
      <c r="CN605" s="1322"/>
      <c r="CO605" s="1322"/>
      <c r="CP605" s="1322"/>
      <c r="CQ605" s="1323"/>
      <c r="CS605" s="1324">
        <f t="shared" si="17"/>
        <v>0</v>
      </c>
      <c r="CT605" s="1325"/>
      <c r="CU605" s="1325"/>
      <c r="CV605" s="1325"/>
      <c r="CW605" s="1326"/>
      <c r="CX605" s="1324">
        <f t="shared" si="18"/>
        <v>0</v>
      </c>
      <c r="CY605" s="1325"/>
      <c r="CZ605" s="1325"/>
      <c r="DA605" s="1325"/>
      <c r="DB605" s="1326"/>
      <c r="DC605" s="1324">
        <f t="shared" si="19"/>
        <v>0</v>
      </c>
      <c r="DD605" s="1325"/>
      <c r="DE605" s="1325"/>
      <c r="DF605" s="1325"/>
      <c r="DG605" s="1326"/>
      <c r="DH605" s="1324">
        <f t="shared" si="20"/>
        <v>0</v>
      </c>
      <c r="DI605" s="1325"/>
      <c r="DJ605" s="1325"/>
      <c r="DK605" s="1325"/>
      <c r="DL605" s="1326"/>
      <c r="DM605" s="1324">
        <f t="shared" si="21"/>
        <v>0</v>
      </c>
      <c r="DN605" s="1325"/>
      <c r="DO605" s="1325"/>
      <c r="DP605" s="1325"/>
      <c r="DQ605" s="1326"/>
      <c r="DR605" s="1324">
        <f t="shared" si="22"/>
        <v>0</v>
      </c>
      <c r="DS605" s="1325"/>
      <c r="DT605" s="1325"/>
      <c r="DU605" s="1325"/>
      <c r="DV605" s="1326"/>
    </row>
    <row r="606" spans="1:126" ht="12.9" customHeight="1">
      <c r="B606" t="s">
        <v>833</v>
      </c>
      <c r="G606" s="1080"/>
      <c r="H606" s="1080"/>
      <c r="I606" s="1080"/>
      <c r="J606" s="1080"/>
      <c r="K606" s="1080"/>
      <c r="L606" s="1080"/>
      <c r="M606" s="1080"/>
      <c r="N606" s="1080"/>
      <c r="O606" s="1080"/>
      <c r="P606" s="1080"/>
      <c r="Q606" s="1080"/>
      <c r="R606" s="1080"/>
      <c r="U606" t="s">
        <v>833</v>
      </c>
      <c r="Z606" s="1130"/>
      <c r="AA606" s="1130"/>
      <c r="AB606" s="1130"/>
      <c r="AC606" s="1130"/>
      <c r="AD606" s="1130"/>
      <c r="AE606" s="1130"/>
      <c r="AF606" s="1130"/>
      <c r="AG606" s="1130"/>
      <c r="AH606" s="1130"/>
      <c r="AI606" s="1130"/>
      <c r="AJ606" s="1130"/>
      <c r="AK606" s="1130"/>
      <c r="AL606" s="305"/>
      <c r="BA606" s="41"/>
      <c r="BB606" s="41"/>
      <c r="BC606" s="41"/>
      <c r="BD606" s="41"/>
      <c r="BE606" s="1318">
        <f t="shared" si="15"/>
        <v>0</v>
      </c>
      <c r="BF606" s="1320"/>
      <c r="BG606" s="1312">
        <f t="shared" si="7"/>
        <v>0</v>
      </c>
      <c r="BH606" s="1314"/>
      <c r="BI606" s="1318">
        <f t="shared" si="16"/>
        <v>0</v>
      </c>
      <c r="BJ606" s="1320"/>
      <c r="BK606" s="1312">
        <f t="shared" si="8"/>
        <v>0</v>
      </c>
      <c r="BL606" s="1314"/>
      <c r="BN606" s="1312">
        <f t="shared" si="9"/>
        <v>0</v>
      </c>
      <c r="BO606" s="1313"/>
      <c r="BP606" s="1313"/>
      <c r="BQ606" s="1313"/>
      <c r="BR606" s="1323"/>
      <c r="BS606" s="1312">
        <f t="shared" si="10"/>
        <v>0</v>
      </c>
      <c r="BT606" s="1313"/>
      <c r="BU606" s="1313"/>
      <c r="BV606" s="1313"/>
      <c r="BW606" s="1314"/>
      <c r="BX606" s="1312">
        <f t="shared" si="11"/>
        <v>0</v>
      </c>
      <c r="BY606" s="1313"/>
      <c r="BZ606" s="1313"/>
      <c r="CA606" s="1313"/>
      <c r="CB606" s="1314"/>
      <c r="CC606" s="1312">
        <f t="shared" si="12"/>
        <v>0</v>
      </c>
      <c r="CD606" s="1313"/>
      <c r="CE606" s="1313"/>
      <c r="CF606" s="1313"/>
      <c r="CG606" s="1314"/>
      <c r="CH606" s="1312">
        <f t="shared" si="13"/>
        <v>0</v>
      </c>
      <c r="CI606" s="1313"/>
      <c r="CJ606" s="1313"/>
      <c r="CK606" s="1313"/>
      <c r="CL606" s="1314"/>
      <c r="CM606" s="1321">
        <f t="shared" si="14"/>
        <v>0</v>
      </c>
      <c r="CN606" s="1322"/>
      <c r="CO606" s="1322"/>
      <c r="CP606" s="1322"/>
      <c r="CQ606" s="1323"/>
      <c r="CS606" s="1324">
        <f t="shared" si="17"/>
        <v>0</v>
      </c>
      <c r="CT606" s="1325"/>
      <c r="CU606" s="1325"/>
      <c r="CV606" s="1325"/>
      <c r="CW606" s="1326"/>
      <c r="CX606" s="1324">
        <f t="shared" si="18"/>
        <v>0</v>
      </c>
      <c r="CY606" s="1325"/>
      <c r="CZ606" s="1325"/>
      <c r="DA606" s="1325"/>
      <c r="DB606" s="1326"/>
      <c r="DC606" s="1324">
        <f t="shared" si="19"/>
        <v>0</v>
      </c>
      <c r="DD606" s="1325"/>
      <c r="DE606" s="1325"/>
      <c r="DF606" s="1325"/>
      <c r="DG606" s="1326"/>
      <c r="DH606" s="1324">
        <f t="shared" si="20"/>
        <v>0</v>
      </c>
      <c r="DI606" s="1325"/>
      <c r="DJ606" s="1325"/>
      <c r="DK606" s="1325"/>
      <c r="DL606" s="1326"/>
      <c r="DM606" s="1324">
        <f t="shared" si="21"/>
        <v>0</v>
      </c>
      <c r="DN606" s="1325"/>
      <c r="DO606" s="1325"/>
      <c r="DP606" s="1325"/>
      <c r="DQ606" s="1326"/>
      <c r="DR606" s="1324">
        <f t="shared" si="22"/>
        <v>0</v>
      </c>
      <c r="DS606" s="1325"/>
      <c r="DT606" s="1325"/>
      <c r="DU606" s="1325"/>
      <c r="DV606" s="1326"/>
    </row>
    <row r="607" spans="1:126" ht="12.9" customHeight="1">
      <c r="B607" t="s">
        <v>650</v>
      </c>
      <c r="G607" s="1090"/>
      <c r="H607" s="1090"/>
      <c r="I607" s="1090"/>
      <c r="J607" s="1090"/>
      <c r="K607" s="1090"/>
      <c r="L607" s="1090"/>
      <c r="O607" s="42" t="s">
        <v>818</v>
      </c>
      <c r="P607" s="1310"/>
      <c r="Q607" s="1310"/>
      <c r="R607" s="1310"/>
      <c r="U607" t="s">
        <v>650</v>
      </c>
      <c r="Z607" s="1090"/>
      <c r="AA607" s="1090"/>
      <c r="AB607" s="1090"/>
      <c r="AC607" s="1090"/>
      <c r="AD607" s="1090"/>
      <c r="AE607" s="1090"/>
      <c r="AH607" s="42" t="s">
        <v>818</v>
      </c>
      <c r="AI607" s="1310"/>
      <c r="AJ607" s="1310"/>
      <c r="AK607" s="1310"/>
      <c r="AZ607" s="41"/>
      <c r="BA607" s="41"/>
      <c r="BB607" s="41"/>
      <c r="BC607" s="41"/>
      <c r="BD607" s="41"/>
      <c r="BE607" s="1318">
        <f t="shared" si="15"/>
        <v>0</v>
      </c>
      <c r="BF607" s="1320"/>
      <c r="BG607" s="1312">
        <f t="shared" si="7"/>
        <v>0</v>
      </c>
      <c r="BH607" s="1314"/>
      <c r="BI607" s="1318">
        <f t="shared" si="16"/>
        <v>0</v>
      </c>
      <c r="BJ607" s="1320"/>
      <c r="BK607" s="1312">
        <f t="shared" si="8"/>
        <v>0</v>
      </c>
      <c r="BL607" s="1314"/>
      <c r="BN607" s="1312">
        <f t="shared" si="9"/>
        <v>0</v>
      </c>
      <c r="BO607" s="1313"/>
      <c r="BP607" s="1313"/>
      <c r="BQ607" s="1313"/>
      <c r="BR607" s="1323"/>
      <c r="BS607" s="1312">
        <f t="shared" si="10"/>
        <v>0</v>
      </c>
      <c r="BT607" s="1313"/>
      <c r="BU607" s="1313"/>
      <c r="BV607" s="1313"/>
      <c r="BW607" s="1314"/>
      <c r="BX607" s="1312">
        <f t="shared" si="11"/>
        <v>0</v>
      </c>
      <c r="BY607" s="1313"/>
      <c r="BZ607" s="1313"/>
      <c r="CA607" s="1313"/>
      <c r="CB607" s="1314"/>
      <c r="CC607" s="1312">
        <f t="shared" si="12"/>
        <v>0</v>
      </c>
      <c r="CD607" s="1313"/>
      <c r="CE607" s="1313"/>
      <c r="CF607" s="1313"/>
      <c r="CG607" s="1314"/>
      <c r="CH607" s="1312">
        <f t="shared" si="13"/>
        <v>0</v>
      </c>
      <c r="CI607" s="1313"/>
      <c r="CJ607" s="1313"/>
      <c r="CK607" s="1313"/>
      <c r="CL607" s="1314"/>
      <c r="CM607" s="1321">
        <f t="shared" si="14"/>
        <v>0</v>
      </c>
      <c r="CN607" s="1322"/>
      <c r="CO607" s="1322"/>
      <c r="CP607" s="1322"/>
      <c r="CQ607" s="1323"/>
      <c r="CS607" s="1324">
        <f t="shared" si="17"/>
        <v>0</v>
      </c>
      <c r="CT607" s="1325"/>
      <c r="CU607" s="1325"/>
      <c r="CV607" s="1325"/>
      <c r="CW607" s="1326"/>
      <c r="CX607" s="1324">
        <f t="shared" si="18"/>
        <v>0</v>
      </c>
      <c r="CY607" s="1325"/>
      <c r="CZ607" s="1325"/>
      <c r="DA607" s="1325"/>
      <c r="DB607" s="1326"/>
      <c r="DC607" s="1324">
        <f t="shared" si="19"/>
        <v>0</v>
      </c>
      <c r="DD607" s="1325"/>
      <c r="DE607" s="1325"/>
      <c r="DF607" s="1325"/>
      <c r="DG607" s="1326"/>
      <c r="DH607" s="1324">
        <f t="shared" si="20"/>
        <v>0</v>
      </c>
      <c r="DI607" s="1325"/>
      <c r="DJ607" s="1325"/>
      <c r="DK607" s="1325"/>
      <c r="DL607" s="1326"/>
      <c r="DM607" s="1324">
        <f t="shared" si="21"/>
        <v>0</v>
      </c>
      <c r="DN607" s="1325"/>
      <c r="DO607" s="1325"/>
      <c r="DP607" s="1325"/>
      <c r="DQ607" s="1326"/>
      <c r="DR607" s="1324">
        <f t="shared" si="22"/>
        <v>0</v>
      </c>
      <c r="DS607" s="1325"/>
      <c r="DT607" s="1325"/>
      <c r="DU607" s="1325"/>
      <c r="DV607" s="1326"/>
    </row>
    <row r="608" spans="1:126" ht="12.9" customHeight="1">
      <c r="B608" t="s">
        <v>834</v>
      </c>
      <c r="H608" s="1080"/>
      <c r="I608" s="1080"/>
      <c r="J608" s="1080"/>
      <c r="K608" s="1080"/>
      <c r="L608" s="1080"/>
      <c r="M608" s="1080"/>
      <c r="N608" s="1080"/>
      <c r="O608" s="1080"/>
      <c r="P608" s="1080"/>
      <c r="Q608" s="1080"/>
      <c r="R608" s="1080"/>
      <c r="U608" t="s">
        <v>834</v>
      </c>
      <c r="AA608" s="1080"/>
      <c r="AB608" s="1080"/>
      <c r="AC608" s="1080"/>
      <c r="AD608" s="1080"/>
      <c r="AE608" s="1080"/>
      <c r="AF608" s="1080"/>
      <c r="AG608" s="1080"/>
      <c r="AH608" s="1080"/>
      <c r="AI608" s="1080"/>
      <c r="AJ608" s="1080"/>
      <c r="AK608" s="1080"/>
      <c r="AZ608" s="41"/>
      <c r="BA608" s="41"/>
      <c r="BB608" s="41"/>
      <c r="BC608" s="41"/>
      <c r="BD608" s="41"/>
      <c r="BE608" s="1318">
        <f t="shared" si="15"/>
        <v>0</v>
      </c>
      <c r="BF608" s="1320"/>
      <c r="BG608" s="1312">
        <f t="shared" si="7"/>
        <v>0</v>
      </c>
      <c r="BH608" s="1314"/>
      <c r="BI608" s="1318">
        <f t="shared" si="16"/>
        <v>0</v>
      </c>
      <c r="BJ608" s="1320"/>
      <c r="BK608" s="1312">
        <f t="shared" si="8"/>
        <v>0</v>
      </c>
      <c r="BL608" s="1314"/>
      <c r="BN608" s="1312">
        <f t="shared" si="9"/>
        <v>0</v>
      </c>
      <c r="BO608" s="1313"/>
      <c r="BP608" s="1313"/>
      <c r="BQ608" s="1313"/>
      <c r="BR608" s="1323"/>
      <c r="BS608" s="1312">
        <f t="shared" si="10"/>
        <v>0</v>
      </c>
      <c r="BT608" s="1313"/>
      <c r="BU608" s="1313"/>
      <c r="BV608" s="1313"/>
      <c r="BW608" s="1314"/>
      <c r="BX608" s="1312">
        <f t="shared" si="11"/>
        <v>0</v>
      </c>
      <c r="BY608" s="1313"/>
      <c r="BZ608" s="1313"/>
      <c r="CA608" s="1313"/>
      <c r="CB608" s="1314"/>
      <c r="CC608" s="1312">
        <f t="shared" si="12"/>
        <v>0</v>
      </c>
      <c r="CD608" s="1313"/>
      <c r="CE608" s="1313"/>
      <c r="CF608" s="1313"/>
      <c r="CG608" s="1314"/>
      <c r="CH608" s="1312">
        <f t="shared" si="13"/>
        <v>0</v>
      </c>
      <c r="CI608" s="1313"/>
      <c r="CJ608" s="1313"/>
      <c r="CK608" s="1313"/>
      <c r="CL608" s="1314"/>
      <c r="CM608" s="1321">
        <f t="shared" si="14"/>
        <v>0</v>
      </c>
      <c r="CN608" s="1322"/>
      <c r="CO608" s="1322"/>
      <c r="CP608" s="1322"/>
      <c r="CQ608" s="1323"/>
      <c r="CS608" s="1324">
        <f t="shared" si="17"/>
        <v>0</v>
      </c>
      <c r="CT608" s="1325"/>
      <c r="CU608" s="1325"/>
      <c r="CV608" s="1325"/>
      <c r="CW608" s="1326"/>
      <c r="CX608" s="1324">
        <f t="shared" si="18"/>
        <v>0</v>
      </c>
      <c r="CY608" s="1325"/>
      <c r="CZ608" s="1325"/>
      <c r="DA608" s="1325"/>
      <c r="DB608" s="1326"/>
      <c r="DC608" s="1324">
        <f t="shared" si="19"/>
        <v>0</v>
      </c>
      <c r="DD608" s="1325"/>
      <c r="DE608" s="1325"/>
      <c r="DF608" s="1325"/>
      <c r="DG608" s="1326"/>
      <c r="DH608" s="1324">
        <f t="shared" si="20"/>
        <v>0</v>
      </c>
      <c r="DI608" s="1325"/>
      <c r="DJ608" s="1325"/>
      <c r="DK608" s="1325"/>
      <c r="DL608" s="1326"/>
      <c r="DM608" s="1324">
        <f t="shared" si="21"/>
        <v>0</v>
      </c>
      <c r="DN608" s="1325"/>
      <c r="DO608" s="1325"/>
      <c r="DP608" s="1325"/>
      <c r="DQ608" s="1326"/>
      <c r="DR608" s="1324">
        <f t="shared" si="22"/>
        <v>0</v>
      </c>
      <c r="DS608" s="1325"/>
      <c r="DT608" s="1325"/>
      <c r="DU608" s="1325"/>
      <c r="DV608" s="1326"/>
    </row>
    <row r="609" spans="1:126" ht="12.9" customHeight="1">
      <c r="B609" t="s">
        <v>836</v>
      </c>
      <c r="N609" s="1175" t="s">
        <v>482</v>
      </c>
      <c r="O609" s="1175"/>
      <c r="U609" t="s">
        <v>836</v>
      </c>
      <c r="AG609" s="1175" t="s">
        <v>482</v>
      </c>
      <c r="AH609" s="1175"/>
      <c r="AZ609" s="41"/>
      <c r="BA609" s="41"/>
      <c r="BB609" s="41"/>
      <c r="BC609" s="41"/>
      <c r="BD609" s="41"/>
      <c r="BE609" s="1318">
        <f t="shared" si="15"/>
        <v>0</v>
      </c>
      <c r="BF609" s="1320"/>
      <c r="BG609" s="1312">
        <f t="shared" si="7"/>
        <v>0</v>
      </c>
      <c r="BH609" s="1314"/>
      <c r="BI609" s="1318">
        <f t="shared" si="16"/>
        <v>0</v>
      </c>
      <c r="BJ609" s="1320"/>
      <c r="BK609" s="1312">
        <f t="shared" si="8"/>
        <v>0</v>
      </c>
      <c r="BL609" s="1314"/>
      <c r="BN609" s="1312">
        <f t="shared" si="9"/>
        <v>0</v>
      </c>
      <c r="BO609" s="1313"/>
      <c r="BP609" s="1313"/>
      <c r="BQ609" s="1313"/>
      <c r="BR609" s="1323"/>
      <c r="BS609" s="1312">
        <f t="shared" si="10"/>
        <v>0</v>
      </c>
      <c r="BT609" s="1313"/>
      <c r="BU609" s="1313"/>
      <c r="BV609" s="1313"/>
      <c r="BW609" s="1314"/>
      <c r="BX609" s="1312">
        <f t="shared" si="11"/>
        <v>0</v>
      </c>
      <c r="BY609" s="1313"/>
      <c r="BZ609" s="1313"/>
      <c r="CA609" s="1313"/>
      <c r="CB609" s="1314"/>
      <c r="CC609" s="1312">
        <f t="shared" si="12"/>
        <v>0</v>
      </c>
      <c r="CD609" s="1313"/>
      <c r="CE609" s="1313"/>
      <c r="CF609" s="1313"/>
      <c r="CG609" s="1314"/>
      <c r="CH609" s="1312">
        <f t="shared" si="13"/>
        <v>0</v>
      </c>
      <c r="CI609" s="1313"/>
      <c r="CJ609" s="1313"/>
      <c r="CK609" s="1313"/>
      <c r="CL609" s="1314"/>
      <c r="CM609" s="1321">
        <f t="shared" si="14"/>
        <v>0</v>
      </c>
      <c r="CN609" s="1322"/>
      <c r="CO609" s="1322"/>
      <c r="CP609" s="1322"/>
      <c r="CQ609" s="1323"/>
      <c r="CS609" s="1324">
        <f t="shared" si="17"/>
        <v>0</v>
      </c>
      <c r="CT609" s="1325"/>
      <c r="CU609" s="1325"/>
      <c r="CV609" s="1325"/>
      <c r="CW609" s="1326"/>
      <c r="CX609" s="1324">
        <f t="shared" si="18"/>
        <v>0</v>
      </c>
      <c r="CY609" s="1325"/>
      <c r="CZ609" s="1325"/>
      <c r="DA609" s="1325"/>
      <c r="DB609" s="1326"/>
      <c r="DC609" s="1324">
        <f t="shared" si="19"/>
        <v>0</v>
      </c>
      <c r="DD609" s="1325"/>
      <c r="DE609" s="1325"/>
      <c r="DF609" s="1325"/>
      <c r="DG609" s="1326"/>
      <c r="DH609" s="1324">
        <f t="shared" si="20"/>
        <v>0</v>
      </c>
      <c r="DI609" s="1325"/>
      <c r="DJ609" s="1325"/>
      <c r="DK609" s="1325"/>
      <c r="DL609" s="1326"/>
      <c r="DM609" s="1324">
        <f t="shared" si="21"/>
        <v>0</v>
      </c>
      <c r="DN609" s="1325"/>
      <c r="DO609" s="1325"/>
      <c r="DP609" s="1325"/>
      <c r="DQ609" s="1326"/>
      <c r="DR609" s="1324">
        <f t="shared" si="22"/>
        <v>0</v>
      </c>
      <c r="DS609" s="1325"/>
      <c r="DT609" s="1325"/>
      <c r="DU609" s="1325"/>
      <c r="DV609" s="1326"/>
    </row>
    <row r="610" spans="1:126" ht="12.9" customHeight="1">
      <c r="AZ610" s="41"/>
      <c r="BA610" s="41"/>
      <c r="BB610" s="41"/>
      <c r="BC610" s="41"/>
      <c r="BD610" s="41"/>
      <c r="BE610" s="1318">
        <f t="shared" si="15"/>
        <v>0</v>
      </c>
      <c r="BF610" s="1320"/>
      <c r="BG610" s="1312">
        <f t="shared" si="7"/>
        <v>0</v>
      </c>
      <c r="BH610" s="1314"/>
      <c r="BI610" s="1318">
        <f t="shared" si="16"/>
        <v>0</v>
      </c>
      <c r="BJ610" s="1320"/>
      <c r="BK610" s="1312">
        <f t="shared" si="8"/>
        <v>0</v>
      </c>
      <c r="BL610" s="1314"/>
      <c r="BN610" s="1312">
        <f t="shared" si="9"/>
        <v>0</v>
      </c>
      <c r="BO610" s="1313"/>
      <c r="BP610" s="1313"/>
      <c r="BQ610" s="1313"/>
      <c r="BR610" s="1323"/>
      <c r="BS610" s="1312">
        <f t="shared" si="10"/>
        <v>0</v>
      </c>
      <c r="BT610" s="1313"/>
      <c r="BU610" s="1313"/>
      <c r="BV610" s="1313"/>
      <c r="BW610" s="1314"/>
      <c r="BX610" s="1312">
        <f t="shared" si="11"/>
        <v>0</v>
      </c>
      <c r="BY610" s="1313"/>
      <c r="BZ610" s="1313"/>
      <c r="CA610" s="1313"/>
      <c r="CB610" s="1314"/>
      <c r="CC610" s="1312">
        <f t="shared" si="12"/>
        <v>0</v>
      </c>
      <c r="CD610" s="1313"/>
      <c r="CE610" s="1313"/>
      <c r="CF610" s="1313"/>
      <c r="CG610" s="1314"/>
      <c r="CH610" s="1312">
        <f t="shared" si="13"/>
        <v>0</v>
      </c>
      <c r="CI610" s="1313"/>
      <c r="CJ610" s="1313"/>
      <c r="CK610" s="1313"/>
      <c r="CL610" s="1314"/>
      <c r="CM610" s="1321">
        <f t="shared" si="14"/>
        <v>0</v>
      </c>
      <c r="CN610" s="1322"/>
      <c r="CO610" s="1322"/>
      <c r="CP610" s="1322"/>
      <c r="CQ610" s="1323"/>
      <c r="CS610" s="1324">
        <f t="shared" si="17"/>
        <v>0</v>
      </c>
      <c r="CT610" s="1325"/>
      <c r="CU610" s="1325"/>
      <c r="CV610" s="1325"/>
      <c r="CW610" s="1326"/>
      <c r="CX610" s="1324">
        <f t="shared" si="18"/>
        <v>0</v>
      </c>
      <c r="CY610" s="1325"/>
      <c r="CZ610" s="1325"/>
      <c r="DA610" s="1325"/>
      <c r="DB610" s="1326"/>
      <c r="DC610" s="1324">
        <f t="shared" si="19"/>
        <v>0</v>
      </c>
      <c r="DD610" s="1325"/>
      <c r="DE610" s="1325"/>
      <c r="DF610" s="1325"/>
      <c r="DG610" s="1326"/>
      <c r="DH610" s="1324">
        <f t="shared" si="20"/>
        <v>0</v>
      </c>
      <c r="DI610" s="1325"/>
      <c r="DJ610" s="1325"/>
      <c r="DK610" s="1325"/>
      <c r="DL610" s="1326"/>
      <c r="DM610" s="1324">
        <f t="shared" si="21"/>
        <v>0</v>
      </c>
      <c r="DN610" s="1325"/>
      <c r="DO610" s="1325"/>
      <c r="DP610" s="1325"/>
      <c r="DQ610" s="1326"/>
      <c r="DR610" s="1324">
        <f t="shared" si="22"/>
        <v>0</v>
      </c>
      <c r="DS610" s="1325"/>
      <c r="DT610" s="1325"/>
      <c r="DU610" s="1325"/>
      <c r="DV610" s="1326"/>
    </row>
    <row r="611" spans="1:126" ht="12.9"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318">
        <f t="shared" si="15"/>
        <v>0</v>
      </c>
      <c r="BF611" s="1320"/>
      <c r="BG611" s="1312">
        <f t="shared" si="7"/>
        <v>0</v>
      </c>
      <c r="BH611" s="1314"/>
      <c r="BI611" s="1318">
        <f t="shared" si="16"/>
        <v>0</v>
      </c>
      <c r="BJ611" s="1320"/>
      <c r="BK611" s="1312">
        <f t="shared" si="8"/>
        <v>0</v>
      </c>
      <c r="BL611" s="1314"/>
      <c r="BN611" s="1312">
        <f t="shared" si="9"/>
        <v>0</v>
      </c>
      <c r="BO611" s="1313"/>
      <c r="BP611" s="1313"/>
      <c r="BQ611" s="1313"/>
      <c r="BR611" s="1323"/>
      <c r="BS611" s="1312">
        <f t="shared" si="10"/>
        <v>0</v>
      </c>
      <c r="BT611" s="1313"/>
      <c r="BU611" s="1313"/>
      <c r="BV611" s="1313"/>
      <c r="BW611" s="1314"/>
      <c r="BX611" s="1312">
        <f t="shared" si="11"/>
        <v>0</v>
      </c>
      <c r="BY611" s="1313"/>
      <c r="BZ611" s="1313"/>
      <c r="CA611" s="1313"/>
      <c r="CB611" s="1314"/>
      <c r="CC611" s="1312">
        <f t="shared" si="12"/>
        <v>0</v>
      </c>
      <c r="CD611" s="1313"/>
      <c r="CE611" s="1313"/>
      <c r="CF611" s="1313"/>
      <c r="CG611" s="1314"/>
      <c r="CH611" s="1312">
        <f t="shared" si="13"/>
        <v>0</v>
      </c>
      <c r="CI611" s="1313"/>
      <c r="CJ611" s="1313"/>
      <c r="CK611" s="1313"/>
      <c r="CL611" s="1314"/>
      <c r="CM611" s="1321">
        <f t="shared" si="14"/>
        <v>0</v>
      </c>
      <c r="CN611" s="1322"/>
      <c r="CO611" s="1322"/>
      <c r="CP611" s="1322"/>
      <c r="CQ611" s="1323"/>
      <c r="CS611" s="1324">
        <f t="shared" si="17"/>
        <v>0</v>
      </c>
      <c r="CT611" s="1325"/>
      <c r="CU611" s="1325"/>
      <c r="CV611" s="1325"/>
      <c r="CW611" s="1326"/>
      <c r="CX611" s="1324">
        <f t="shared" si="18"/>
        <v>0</v>
      </c>
      <c r="CY611" s="1325"/>
      <c r="CZ611" s="1325"/>
      <c r="DA611" s="1325"/>
      <c r="DB611" s="1326"/>
      <c r="DC611" s="1324">
        <f t="shared" si="19"/>
        <v>0</v>
      </c>
      <c r="DD611" s="1325"/>
      <c r="DE611" s="1325"/>
      <c r="DF611" s="1325"/>
      <c r="DG611" s="1326"/>
      <c r="DH611" s="1324">
        <f t="shared" si="20"/>
        <v>0</v>
      </c>
      <c r="DI611" s="1325"/>
      <c r="DJ611" s="1325"/>
      <c r="DK611" s="1325"/>
      <c r="DL611" s="1326"/>
      <c r="DM611" s="1324">
        <f t="shared" si="21"/>
        <v>0</v>
      </c>
      <c r="DN611" s="1325"/>
      <c r="DO611" s="1325"/>
      <c r="DP611" s="1325"/>
      <c r="DQ611" s="1326"/>
      <c r="DR611" s="1324">
        <f t="shared" si="22"/>
        <v>0</v>
      </c>
      <c r="DS611" s="1325"/>
      <c r="DT611" s="1325"/>
      <c r="DU611" s="1325"/>
      <c r="DV611" s="1326"/>
    </row>
    <row r="612" spans="1:126" ht="12.9"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318">
        <f t="shared" si="15"/>
        <v>0</v>
      </c>
      <c r="BF612" s="1320"/>
      <c r="BG612" s="1312">
        <f t="shared" si="7"/>
        <v>0</v>
      </c>
      <c r="BH612" s="1314"/>
      <c r="BI612" s="1318">
        <f t="shared" si="16"/>
        <v>0</v>
      </c>
      <c r="BJ612" s="1320"/>
      <c r="BK612" s="1312">
        <f t="shared" si="8"/>
        <v>0</v>
      </c>
      <c r="BL612" s="1314"/>
      <c r="BN612" s="1312">
        <f t="shared" si="9"/>
        <v>0</v>
      </c>
      <c r="BO612" s="1313"/>
      <c r="BP612" s="1313"/>
      <c r="BQ612" s="1313"/>
      <c r="BR612" s="1323"/>
      <c r="BS612" s="1312">
        <f t="shared" si="10"/>
        <v>0</v>
      </c>
      <c r="BT612" s="1313"/>
      <c r="BU612" s="1313"/>
      <c r="BV612" s="1313"/>
      <c r="BW612" s="1314"/>
      <c r="BX612" s="1312">
        <f t="shared" si="11"/>
        <v>0</v>
      </c>
      <c r="BY612" s="1313"/>
      <c r="BZ612" s="1313"/>
      <c r="CA612" s="1313"/>
      <c r="CB612" s="1314"/>
      <c r="CC612" s="1312">
        <f t="shared" si="12"/>
        <v>0</v>
      </c>
      <c r="CD612" s="1313"/>
      <c r="CE612" s="1313"/>
      <c r="CF612" s="1313"/>
      <c r="CG612" s="1314"/>
      <c r="CH612" s="1312">
        <f t="shared" si="13"/>
        <v>0</v>
      </c>
      <c r="CI612" s="1313"/>
      <c r="CJ612" s="1313"/>
      <c r="CK612" s="1313"/>
      <c r="CL612" s="1314"/>
      <c r="CM612" s="1321">
        <f t="shared" si="14"/>
        <v>0</v>
      </c>
      <c r="CN612" s="1322"/>
      <c r="CO612" s="1322"/>
      <c r="CP612" s="1322"/>
      <c r="CQ612" s="1323"/>
      <c r="CS612" s="1324">
        <f t="shared" si="17"/>
        <v>0</v>
      </c>
      <c r="CT612" s="1325"/>
      <c r="CU612" s="1325"/>
      <c r="CV612" s="1325"/>
      <c r="CW612" s="1326"/>
      <c r="CX612" s="1324">
        <f t="shared" si="18"/>
        <v>0</v>
      </c>
      <c r="CY612" s="1325"/>
      <c r="CZ612" s="1325"/>
      <c r="DA612" s="1325"/>
      <c r="DB612" s="1326"/>
      <c r="DC612" s="1324">
        <f t="shared" si="19"/>
        <v>0</v>
      </c>
      <c r="DD612" s="1325"/>
      <c r="DE612" s="1325"/>
      <c r="DF612" s="1325"/>
      <c r="DG612" s="1326"/>
      <c r="DH612" s="1324">
        <f t="shared" si="20"/>
        <v>0</v>
      </c>
      <c r="DI612" s="1325"/>
      <c r="DJ612" s="1325"/>
      <c r="DK612" s="1325"/>
      <c r="DL612" s="1326"/>
      <c r="DM612" s="1324">
        <f t="shared" si="21"/>
        <v>0</v>
      </c>
      <c r="DN612" s="1325"/>
      <c r="DO612" s="1325"/>
      <c r="DP612" s="1325"/>
      <c r="DQ612" s="1326"/>
      <c r="DR612" s="1324">
        <f t="shared" si="22"/>
        <v>0</v>
      </c>
      <c r="DS612" s="1325"/>
      <c r="DT612" s="1325"/>
      <c r="DU612" s="1325"/>
      <c r="DV612" s="1326"/>
    </row>
    <row r="613" spans="1:126" ht="12.9" customHeight="1">
      <c r="AZ613" s="41"/>
      <c r="BA613" s="41"/>
      <c r="BB613" s="41"/>
      <c r="BC613" s="41"/>
      <c r="BD613" s="41"/>
      <c r="BE613" s="1318">
        <f t="shared" si="15"/>
        <v>0</v>
      </c>
      <c r="BF613" s="1320"/>
      <c r="BG613" s="1312">
        <f t="shared" si="7"/>
        <v>0</v>
      </c>
      <c r="BH613" s="1314"/>
      <c r="BI613" s="1318">
        <f t="shared" si="16"/>
        <v>0</v>
      </c>
      <c r="BJ613" s="1320"/>
      <c r="BK613" s="1312">
        <f t="shared" si="8"/>
        <v>0</v>
      </c>
      <c r="BL613" s="1314"/>
      <c r="BN613" s="1312">
        <f t="shared" si="9"/>
        <v>0</v>
      </c>
      <c r="BO613" s="1313"/>
      <c r="BP613" s="1313"/>
      <c r="BQ613" s="1313"/>
      <c r="BR613" s="1323"/>
      <c r="BS613" s="1312">
        <f t="shared" si="10"/>
        <v>0</v>
      </c>
      <c r="BT613" s="1313"/>
      <c r="BU613" s="1313"/>
      <c r="BV613" s="1313"/>
      <c r="BW613" s="1314"/>
      <c r="BX613" s="1312">
        <f t="shared" si="11"/>
        <v>0</v>
      </c>
      <c r="BY613" s="1313"/>
      <c r="BZ613" s="1313"/>
      <c r="CA613" s="1313"/>
      <c r="CB613" s="1314"/>
      <c r="CC613" s="1312">
        <f t="shared" si="12"/>
        <v>0</v>
      </c>
      <c r="CD613" s="1313"/>
      <c r="CE613" s="1313"/>
      <c r="CF613" s="1313"/>
      <c r="CG613" s="1314"/>
      <c r="CH613" s="1312">
        <f t="shared" si="13"/>
        <v>0</v>
      </c>
      <c r="CI613" s="1313"/>
      <c r="CJ613" s="1313"/>
      <c r="CK613" s="1313"/>
      <c r="CL613" s="1314"/>
      <c r="CM613" s="1321">
        <f t="shared" si="14"/>
        <v>0</v>
      </c>
      <c r="CN613" s="1322"/>
      <c r="CO613" s="1322"/>
      <c r="CP613" s="1322"/>
      <c r="CQ613" s="1323"/>
      <c r="CS613" s="1324">
        <f t="shared" si="17"/>
        <v>0</v>
      </c>
      <c r="CT613" s="1325"/>
      <c r="CU613" s="1325"/>
      <c r="CV613" s="1325"/>
      <c r="CW613" s="1326"/>
      <c r="CX613" s="1324">
        <f t="shared" si="18"/>
        <v>0</v>
      </c>
      <c r="CY613" s="1325"/>
      <c r="CZ613" s="1325"/>
      <c r="DA613" s="1325"/>
      <c r="DB613" s="1326"/>
      <c r="DC613" s="1324">
        <f t="shared" si="19"/>
        <v>0</v>
      </c>
      <c r="DD613" s="1325"/>
      <c r="DE613" s="1325"/>
      <c r="DF613" s="1325"/>
      <c r="DG613" s="1326"/>
      <c r="DH613" s="1324">
        <f t="shared" si="20"/>
        <v>0</v>
      </c>
      <c r="DI613" s="1325"/>
      <c r="DJ613" s="1325"/>
      <c r="DK613" s="1325"/>
      <c r="DL613" s="1326"/>
      <c r="DM613" s="1324">
        <f t="shared" si="21"/>
        <v>0</v>
      </c>
      <c r="DN613" s="1325"/>
      <c r="DO613" s="1325"/>
      <c r="DP613" s="1325"/>
      <c r="DQ613" s="1326"/>
      <c r="DR613" s="1324">
        <f t="shared" si="22"/>
        <v>0</v>
      </c>
      <c r="DS613" s="1325"/>
      <c r="DT613" s="1325"/>
      <c r="DU613" s="1325"/>
      <c r="DV613" s="1326"/>
    </row>
    <row r="614" spans="1:126" ht="12.9" customHeight="1">
      <c r="A614" s="3" t="s">
        <v>653</v>
      </c>
      <c r="B614" s="3"/>
      <c r="C614" s="3" t="s">
        <v>837</v>
      </c>
      <c r="AZ614" s="41"/>
      <c r="BA614" s="41"/>
      <c r="BB614" s="41"/>
      <c r="BC614" s="41"/>
      <c r="BD614" s="41"/>
      <c r="BE614" s="1318">
        <f t="shared" si="15"/>
        <v>0</v>
      </c>
      <c r="BF614" s="1320"/>
      <c r="BG614" s="1312">
        <f t="shared" si="7"/>
        <v>0</v>
      </c>
      <c r="BH614" s="1314"/>
      <c r="BI614" s="1318">
        <f t="shared" si="16"/>
        <v>0</v>
      </c>
      <c r="BJ614" s="1320"/>
      <c r="BK614" s="1312">
        <f t="shared" si="8"/>
        <v>0</v>
      </c>
      <c r="BL614" s="1314"/>
      <c r="BN614" s="1312">
        <f t="shared" si="9"/>
        <v>0</v>
      </c>
      <c r="BO614" s="1313"/>
      <c r="BP614" s="1313"/>
      <c r="BQ614" s="1313"/>
      <c r="BR614" s="1323"/>
      <c r="BS614" s="1312">
        <f t="shared" si="10"/>
        <v>0</v>
      </c>
      <c r="BT614" s="1313"/>
      <c r="BU614" s="1313"/>
      <c r="BV614" s="1313"/>
      <c r="BW614" s="1314"/>
      <c r="BX614" s="1312">
        <f t="shared" si="11"/>
        <v>0</v>
      </c>
      <c r="BY614" s="1313"/>
      <c r="BZ614" s="1313"/>
      <c r="CA614" s="1313"/>
      <c r="CB614" s="1314"/>
      <c r="CC614" s="1312">
        <f t="shared" si="12"/>
        <v>0</v>
      </c>
      <c r="CD614" s="1313"/>
      <c r="CE614" s="1313"/>
      <c r="CF614" s="1313"/>
      <c r="CG614" s="1314"/>
      <c r="CH614" s="1312">
        <f t="shared" si="13"/>
        <v>0</v>
      </c>
      <c r="CI614" s="1313"/>
      <c r="CJ614" s="1313"/>
      <c r="CK614" s="1313"/>
      <c r="CL614" s="1314"/>
      <c r="CM614" s="1321">
        <f t="shared" si="14"/>
        <v>0</v>
      </c>
      <c r="CN614" s="1322"/>
      <c r="CO614" s="1322"/>
      <c r="CP614" s="1322"/>
      <c r="CQ614" s="1323"/>
      <c r="CS614" s="1324">
        <f t="shared" si="17"/>
        <v>0</v>
      </c>
      <c r="CT614" s="1325"/>
      <c r="CU614" s="1325"/>
      <c r="CV614" s="1325"/>
      <c r="CW614" s="1326"/>
      <c r="CX614" s="1324">
        <f t="shared" si="18"/>
        <v>0</v>
      </c>
      <c r="CY614" s="1325"/>
      <c r="CZ614" s="1325"/>
      <c r="DA614" s="1325"/>
      <c r="DB614" s="1326"/>
      <c r="DC614" s="1324">
        <f t="shared" si="19"/>
        <v>0</v>
      </c>
      <c r="DD614" s="1325"/>
      <c r="DE614" s="1325"/>
      <c r="DF614" s="1325"/>
      <c r="DG614" s="1326"/>
      <c r="DH614" s="1324">
        <f t="shared" si="20"/>
        <v>0</v>
      </c>
      <c r="DI614" s="1325"/>
      <c r="DJ614" s="1325"/>
      <c r="DK614" s="1325"/>
      <c r="DL614" s="1326"/>
      <c r="DM614" s="1324">
        <f t="shared" si="21"/>
        <v>0</v>
      </c>
      <c r="DN614" s="1325"/>
      <c r="DO614" s="1325"/>
      <c r="DP614" s="1325"/>
      <c r="DQ614" s="1326"/>
      <c r="DR614" s="1324">
        <f t="shared" si="22"/>
        <v>0</v>
      </c>
      <c r="DS614" s="1325"/>
      <c r="DT614" s="1325"/>
      <c r="DU614" s="1325"/>
      <c r="DV614" s="1326"/>
    </row>
    <row r="615" spans="1:126" ht="12.9" customHeight="1">
      <c r="A615" s="3"/>
      <c r="B615" s="3"/>
      <c r="C615" s="3"/>
      <c r="AZ615" s="41"/>
      <c r="BA615" s="41"/>
      <c r="BB615" s="41"/>
      <c r="BC615" s="41"/>
      <c r="BD615" s="41"/>
      <c r="BE615" s="1318">
        <f t="shared" si="15"/>
        <v>0</v>
      </c>
      <c r="BF615" s="1320"/>
      <c r="BG615" s="1312">
        <f t="shared" si="7"/>
        <v>0</v>
      </c>
      <c r="BH615" s="1314"/>
      <c r="BI615" s="1318">
        <f t="shared" si="16"/>
        <v>0</v>
      </c>
      <c r="BJ615" s="1320"/>
      <c r="BK615" s="1312">
        <f t="shared" si="8"/>
        <v>0</v>
      </c>
      <c r="BL615" s="1314"/>
      <c r="BN615" s="1312">
        <f t="shared" si="9"/>
        <v>0</v>
      </c>
      <c r="BO615" s="1313"/>
      <c r="BP615" s="1313"/>
      <c r="BQ615" s="1313"/>
      <c r="BR615" s="1323"/>
      <c r="BS615" s="1312">
        <f t="shared" si="10"/>
        <v>0</v>
      </c>
      <c r="BT615" s="1313"/>
      <c r="BU615" s="1313"/>
      <c r="BV615" s="1313"/>
      <c r="BW615" s="1314"/>
      <c r="BX615" s="1312">
        <f t="shared" si="11"/>
        <v>0</v>
      </c>
      <c r="BY615" s="1313"/>
      <c r="BZ615" s="1313"/>
      <c r="CA615" s="1313"/>
      <c r="CB615" s="1314"/>
      <c r="CC615" s="1312">
        <f t="shared" si="12"/>
        <v>0</v>
      </c>
      <c r="CD615" s="1313"/>
      <c r="CE615" s="1313"/>
      <c r="CF615" s="1313"/>
      <c r="CG615" s="1314"/>
      <c r="CH615" s="1312">
        <f t="shared" si="13"/>
        <v>0</v>
      </c>
      <c r="CI615" s="1313"/>
      <c r="CJ615" s="1313"/>
      <c r="CK615" s="1313"/>
      <c r="CL615" s="1314"/>
      <c r="CM615" s="1321">
        <f t="shared" si="14"/>
        <v>0</v>
      </c>
      <c r="CN615" s="1322"/>
      <c r="CO615" s="1322"/>
      <c r="CP615" s="1322"/>
      <c r="CQ615" s="1323"/>
      <c r="CS615" s="1324">
        <f t="shared" si="17"/>
        <v>0</v>
      </c>
      <c r="CT615" s="1325"/>
      <c r="CU615" s="1325"/>
      <c r="CV615" s="1325"/>
      <c r="CW615" s="1326"/>
      <c r="CX615" s="1324">
        <f t="shared" si="18"/>
        <v>0</v>
      </c>
      <c r="CY615" s="1325"/>
      <c r="CZ615" s="1325"/>
      <c r="DA615" s="1325"/>
      <c r="DB615" s="1326"/>
      <c r="DC615" s="1324">
        <f t="shared" si="19"/>
        <v>0</v>
      </c>
      <c r="DD615" s="1325"/>
      <c r="DE615" s="1325"/>
      <c r="DF615" s="1325"/>
      <c r="DG615" s="1326"/>
      <c r="DH615" s="1324">
        <f t="shared" si="20"/>
        <v>0</v>
      </c>
      <c r="DI615" s="1325"/>
      <c r="DJ615" s="1325"/>
      <c r="DK615" s="1325"/>
      <c r="DL615" s="1326"/>
      <c r="DM615" s="1324">
        <f t="shared" si="21"/>
        <v>0</v>
      </c>
      <c r="DN615" s="1325"/>
      <c r="DO615" s="1325"/>
      <c r="DP615" s="1325"/>
      <c r="DQ615" s="1326"/>
      <c r="DR615" s="1324">
        <f t="shared" si="22"/>
        <v>0</v>
      </c>
      <c r="DS615" s="1325"/>
      <c r="DT615" s="1325"/>
      <c r="DU615" s="1325"/>
      <c r="DV615" s="1326"/>
    </row>
    <row r="616" spans="1:126" ht="12.9" customHeight="1">
      <c r="C616" s="3" t="s">
        <v>2125</v>
      </c>
      <c r="AZ616" s="41"/>
      <c r="BA616" s="41"/>
      <c r="BB616" s="41"/>
      <c r="BC616" s="41"/>
      <c r="BD616" s="41"/>
      <c r="BE616" s="1318">
        <f t="shared" ref="BE616:BE625" si="23">IF(AND(AH719&lt;=0.5,AH719&gt;=0.36),1,0)</f>
        <v>0</v>
      </c>
      <c r="BF616" s="1320"/>
      <c r="BG616" s="1312">
        <f t="shared" ref="BG616:BG625" si="24">IF(BE616=1,G719,0)</f>
        <v>0</v>
      </c>
      <c r="BH616" s="1314"/>
      <c r="BI616" s="1318">
        <f t="shared" ref="BI616:BI625" si="25">IF(AND(AH719&lt;=0.35,AH719&gt;0),1,0)</f>
        <v>0</v>
      </c>
      <c r="BJ616" s="1320"/>
      <c r="BK616" s="1312">
        <f t="shared" ref="BK616:BK625" si="26">IF(BI616=1,G719,0)</f>
        <v>0</v>
      </c>
      <c r="BL616" s="1314"/>
      <c r="BN616" s="1312">
        <f t="shared" si="9"/>
        <v>0</v>
      </c>
      <c r="BO616" s="1313"/>
      <c r="BP616" s="1313"/>
      <c r="BQ616" s="1313"/>
      <c r="BR616" s="1323"/>
      <c r="BS616" s="1312">
        <f t="shared" si="10"/>
        <v>0</v>
      </c>
      <c r="BT616" s="1313"/>
      <c r="BU616" s="1313"/>
      <c r="BV616" s="1313"/>
      <c r="BW616" s="1314"/>
      <c r="BX616" s="1312">
        <f t="shared" si="11"/>
        <v>0</v>
      </c>
      <c r="BY616" s="1313"/>
      <c r="BZ616" s="1313"/>
      <c r="CA616" s="1313"/>
      <c r="CB616" s="1314"/>
      <c r="CC616" s="1312">
        <f t="shared" si="12"/>
        <v>0</v>
      </c>
      <c r="CD616" s="1313"/>
      <c r="CE616" s="1313"/>
      <c r="CF616" s="1313"/>
      <c r="CG616" s="1314"/>
      <c r="CH616" s="1312">
        <f t="shared" si="13"/>
        <v>0</v>
      </c>
      <c r="CI616" s="1313"/>
      <c r="CJ616" s="1313"/>
      <c r="CK616" s="1313"/>
      <c r="CL616" s="1314"/>
      <c r="CM616" s="1321">
        <f t="shared" si="14"/>
        <v>0</v>
      </c>
      <c r="CN616" s="1322"/>
      <c r="CO616" s="1322"/>
      <c r="CP616" s="1322"/>
      <c r="CQ616" s="1323"/>
      <c r="CS616" s="1324">
        <f t="shared" ref="CS616:CS625" si="27">IF(AND(B719="SRO/Studio",AH719&lt;=0.3),G719,0)</f>
        <v>0</v>
      </c>
      <c r="CT616" s="1325"/>
      <c r="CU616" s="1325"/>
      <c r="CV616" s="1325"/>
      <c r="CW616" s="1326"/>
      <c r="CX616" s="1324">
        <f t="shared" ref="CX616:CX625" si="28">IF(AND(B719="1 Bedroom",AH719&lt;=0.3),G719,0)</f>
        <v>0</v>
      </c>
      <c r="CY616" s="1325"/>
      <c r="CZ616" s="1325"/>
      <c r="DA616" s="1325"/>
      <c r="DB616" s="1326"/>
      <c r="DC616" s="1324">
        <f t="shared" ref="DC616:DC625" si="29">IF(AND(B719="2 Bedrooms",AH719&lt;=0.3),G719,0)</f>
        <v>0</v>
      </c>
      <c r="DD616" s="1325"/>
      <c r="DE616" s="1325"/>
      <c r="DF616" s="1325"/>
      <c r="DG616" s="1326"/>
      <c r="DH616" s="1324">
        <f t="shared" ref="DH616:DH625" si="30">IF(AND(B719="3 Bedrooms",AH719&lt;=0.3),G719,0)</f>
        <v>0</v>
      </c>
      <c r="DI616" s="1325"/>
      <c r="DJ616" s="1325"/>
      <c r="DK616" s="1325"/>
      <c r="DL616" s="1326"/>
      <c r="DM616" s="1324">
        <f t="shared" ref="DM616:DM625" si="31">IF(AND(B719="4 Bedrooms",AH719&lt;=0.3),G719,0)</f>
        <v>0</v>
      </c>
      <c r="DN616" s="1325"/>
      <c r="DO616" s="1325"/>
      <c r="DP616" s="1325"/>
      <c r="DQ616" s="1326"/>
      <c r="DR616" s="1324">
        <f t="shared" ref="DR616:DR625" si="32">IF(AND(B719="5 Bedrooms",AH719&lt;=0.3),G719,0)</f>
        <v>0</v>
      </c>
      <c r="DS616" s="1325"/>
      <c r="DT616" s="1325"/>
      <c r="DU616" s="1325"/>
      <c r="DV616" s="1326"/>
    </row>
    <row r="617" spans="1:126" ht="12.9" customHeight="1">
      <c r="B617" s="839"/>
      <c r="C617" s="3"/>
      <c r="AZ617" s="41"/>
      <c r="BA617" s="41"/>
      <c r="BB617" s="41"/>
      <c r="BC617" s="41"/>
      <c r="BD617" s="41"/>
      <c r="BE617" s="1318">
        <f t="shared" si="23"/>
        <v>0</v>
      </c>
      <c r="BF617" s="1320"/>
      <c r="BG617" s="1312">
        <f t="shared" si="24"/>
        <v>0</v>
      </c>
      <c r="BH617" s="1314"/>
      <c r="BI617" s="1318">
        <f t="shared" si="25"/>
        <v>0</v>
      </c>
      <c r="BJ617" s="1320"/>
      <c r="BK617" s="1312">
        <f t="shared" si="26"/>
        <v>0</v>
      </c>
      <c r="BL617" s="1314"/>
      <c r="BN617" s="1312">
        <f t="shared" si="9"/>
        <v>0</v>
      </c>
      <c r="BO617" s="1313"/>
      <c r="BP617" s="1313"/>
      <c r="BQ617" s="1313"/>
      <c r="BR617" s="1323"/>
      <c r="BS617" s="1312">
        <f t="shared" si="10"/>
        <v>0</v>
      </c>
      <c r="BT617" s="1313"/>
      <c r="BU617" s="1313"/>
      <c r="BV617" s="1313"/>
      <c r="BW617" s="1314"/>
      <c r="BX617" s="1312">
        <f t="shared" si="11"/>
        <v>0</v>
      </c>
      <c r="BY617" s="1313"/>
      <c r="BZ617" s="1313"/>
      <c r="CA617" s="1313"/>
      <c r="CB617" s="1314"/>
      <c r="CC617" s="1312">
        <f t="shared" si="12"/>
        <v>0</v>
      </c>
      <c r="CD617" s="1313"/>
      <c r="CE617" s="1313"/>
      <c r="CF617" s="1313"/>
      <c r="CG617" s="1314"/>
      <c r="CH617" s="1312">
        <f t="shared" si="13"/>
        <v>0</v>
      </c>
      <c r="CI617" s="1313"/>
      <c r="CJ617" s="1313"/>
      <c r="CK617" s="1313"/>
      <c r="CL617" s="1314"/>
      <c r="CM617" s="1321">
        <f t="shared" si="14"/>
        <v>0</v>
      </c>
      <c r="CN617" s="1322"/>
      <c r="CO617" s="1322"/>
      <c r="CP617" s="1322"/>
      <c r="CQ617" s="1323"/>
      <c r="CS617" s="1324">
        <f t="shared" si="27"/>
        <v>0</v>
      </c>
      <c r="CT617" s="1325"/>
      <c r="CU617" s="1325"/>
      <c r="CV617" s="1325"/>
      <c r="CW617" s="1326"/>
      <c r="CX617" s="1324">
        <f t="shared" si="28"/>
        <v>0</v>
      </c>
      <c r="CY617" s="1325"/>
      <c r="CZ617" s="1325"/>
      <c r="DA617" s="1325"/>
      <c r="DB617" s="1326"/>
      <c r="DC617" s="1324">
        <f t="shared" si="29"/>
        <v>0</v>
      </c>
      <c r="DD617" s="1325"/>
      <c r="DE617" s="1325"/>
      <c r="DF617" s="1325"/>
      <c r="DG617" s="1326"/>
      <c r="DH617" s="1324">
        <f t="shared" si="30"/>
        <v>0</v>
      </c>
      <c r="DI617" s="1325"/>
      <c r="DJ617" s="1325"/>
      <c r="DK617" s="1325"/>
      <c r="DL617" s="1326"/>
      <c r="DM617" s="1324">
        <f t="shared" si="31"/>
        <v>0</v>
      </c>
      <c r="DN617" s="1325"/>
      <c r="DO617" s="1325"/>
      <c r="DP617" s="1325"/>
      <c r="DQ617" s="1326"/>
      <c r="DR617" s="1324">
        <f t="shared" si="32"/>
        <v>0</v>
      </c>
      <c r="DS617" s="1325"/>
      <c r="DT617" s="1325"/>
      <c r="DU617" s="1325"/>
      <c r="DV617" s="1326"/>
    </row>
    <row r="618" spans="1:126" ht="12.9" customHeight="1">
      <c r="B618" s="1597" t="s">
        <v>2194</v>
      </c>
      <c r="C618" s="1598"/>
      <c r="D618" s="1598"/>
      <c r="E618" s="1598"/>
      <c r="F618" s="1598"/>
      <c r="G618" s="1598"/>
      <c r="H618" s="1598"/>
      <c r="I618" s="1598"/>
      <c r="J618" s="1598"/>
      <c r="K618" s="1598"/>
      <c r="L618" s="1598"/>
      <c r="M618" s="1417" t="s">
        <v>2168</v>
      </c>
      <c r="N618" s="1417"/>
      <c r="O618" s="1417"/>
      <c r="P618" s="1417"/>
      <c r="Q618" s="1334" t="s">
        <v>2198</v>
      </c>
      <c r="R618" s="1335"/>
      <c r="S618" s="1336"/>
      <c r="T618" s="1334" t="s">
        <v>2197</v>
      </c>
      <c r="U618" s="1335"/>
      <c r="V618" s="1336"/>
      <c r="W618" s="1448" t="s">
        <v>740</v>
      </c>
      <c r="X618" s="1448"/>
      <c r="Y618" s="1449"/>
      <c r="Z618" s="1417" t="s">
        <v>2195</v>
      </c>
      <c r="AA618" s="1417"/>
      <c r="AB618" s="1417"/>
      <c r="AC618" s="1436" t="s">
        <v>1990</v>
      </c>
      <c r="AD618" s="1437"/>
      <c r="AE618" s="1438"/>
      <c r="AF618" s="1334" t="s">
        <v>2126</v>
      </c>
      <c r="AG618" s="1335"/>
      <c r="AH618" s="1335"/>
      <c r="AI618" s="1335"/>
      <c r="AJ618" s="1336"/>
      <c r="AK618" s="1530" t="s">
        <v>2127</v>
      </c>
      <c r="AL618" s="1531"/>
      <c r="AM618" s="1531"/>
      <c r="AN618" s="1532"/>
      <c r="AO618" s="1417" t="s">
        <v>741</v>
      </c>
      <c r="AP618" s="1417"/>
      <c r="AQ618" s="1417"/>
      <c r="AR618" s="1417"/>
      <c r="AS618" s="1417"/>
      <c r="AT618" s="41"/>
      <c r="AU618" s="41"/>
      <c r="AV618" s="41"/>
      <c r="AW618" s="41"/>
      <c r="AX618" s="41"/>
      <c r="AY618" s="41"/>
      <c r="AZ618" s="41"/>
      <c r="BE618" s="1318">
        <f t="shared" si="23"/>
        <v>0</v>
      </c>
      <c r="BF618" s="1320"/>
      <c r="BG618" s="1312">
        <f t="shared" si="24"/>
        <v>0</v>
      </c>
      <c r="BH618" s="1314"/>
      <c r="BI618" s="1318">
        <f t="shared" si="25"/>
        <v>0</v>
      </c>
      <c r="BJ618" s="1320"/>
      <c r="BK618" s="1312">
        <f t="shared" si="26"/>
        <v>0</v>
      </c>
      <c r="BL618" s="1314"/>
      <c r="BN618" s="1312">
        <f t="shared" si="9"/>
        <v>0</v>
      </c>
      <c r="BO618" s="1313"/>
      <c r="BP618" s="1313"/>
      <c r="BQ618" s="1313"/>
      <c r="BR618" s="1323"/>
      <c r="BS618" s="1312">
        <f t="shared" si="10"/>
        <v>0</v>
      </c>
      <c r="BT618" s="1313"/>
      <c r="BU618" s="1313"/>
      <c r="BV618" s="1313"/>
      <c r="BW618" s="1314"/>
      <c r="BX618" s="1312">
        <f t="shared" si="11"/>
        <v>0</v>
      </c>
      <c r="BY618" s="1313"/>
      <c r="BZ618" s="1313"/>
      <c r="CA618" s="1313"/>
      <c r="CB618" s="1314"/>
      <c r="CC618" s="1312">
        <f t="shared" si="12"/>
        <v>0</v>
      </c>
      <c r="CD618" s="1313"/>
      <c r="CE618" s="1313"/>
      <c r="CF618" s="1313"/>
      <c r="CG618" s="1314"/>
      <c r="CH618" s="1312">
        <f t="shared" si="13"/>
        <v>0</v>
      </c>
      <c r="CI618" s="1313"/>
      <c r="CJ618" s="1313"/>
      <c r="CK618" s="1313"/>
      <c r="CL618" s="1314"/>
      <c r="CM618" s="1321">
        <f t="shared" si="14"/>
        <v>0</v>
      </c>
      <c r="CN618" s="1322"/>
      <c r="CO618" s="1322"/>
      <c r="CP618" s="1322"/>
      <c r="CQ618" s="1323"/>
      <c r="CS618" s="1324">
        <f t="shared" si="27"/>
        <v>0</v>
      </c>
      <c r="CT618" s="1325"/>
      <c r="CU618" s="1325"/>
      <c r="CV618" s="1325"/>
      <c r="CW618" s="1326"/>
      <c r="CX618" s="1324">
        <f t="shared" si="28"/>
        <v>0</v>
      </c>
      <c r="CY618" s="1325"/>
      <c r="CZ618" s="1325"/>
      <c r="DA618" s="1325"/>
      <c r="DB618" s="1326"/>
      <c r="DC618" s="1324">
        <f t="shared" si="29"/>
        <v>0</v>
      </c>
      <c r="DD618" s="1325"/>
      <c r="DE618" s="1325"/>
      <c r="DF618" s="1325"/>
      <c r="DG618" s="1326"/>
      <c r="DH618" s="1324">
        <f t="shared" si="30"/>
        <v>0</v>
      </c>
      <c r="DI618" s="1325"/>
      <c r="DJ618" s="1325"/>
      <c r="DK618" s="1325"/>
      <c r="DL618" s="1326"/>
      <c r="DM618" s="1324">
        <f t="shared" si="31"/>
        <v>0</v>
      </c>
      <c r="DN618" s="1325"/>
      <c r="DO618" s="1325"/>
      <c r="DP618" s="1325"/>
      <c r="DQ618" s="1326"/>
      <c r="DR618" s="1324">
        <f t="shared" si="32"/>
        <v>0</v>
      </c>
      <c r="DS618" s="1325"/>
      <c r="DT618" s="1325"/>
      <c r="DU618" s="1325"/>
      <c r="DV618" s="1326"/>
    </row>
    <row r="619" spans="1:126" ht="12.9" customHeight="1">
      <c r="B619" s="1599"/>
      <c r="C619" s="1490"/>
      <c r="D619" s="1490"/>
      <c r="E619" s="1490"/>
      <c r="F619" s="1490"/>
      <c r="G619" s="1490"/>
      <c r="H619" s="1490"/>
      <c r="I619" s="1490"/>
      <c r="J619" s="1490"/>
      <c r="K619" s="1490"/>
      <c r="L619" s="1490"/>
      <c r="M619" s="1417"/>
      <c r="N619" s="1417"/>
      <c r="O619" s="1417"/>
      <c r="P619" s="1417"/>
      <c r="Q619" s="1337"/>
      <c r="R619" s="1338"/>
      <c r="S619" s="1339"/>
      <c r="T619" s="1337"/>
      <c r="U619" s="1338"/>
      <c r="V619" s="1339"/>
      <c r="W619" s="1450"/>
      <c r="X619" s="1450"/>
      <c r="Y619" s="1451"/>
      <c r="Z619" s="1417"/>
      <c r="AA619" s="1417"/>
      <c r="AB619" s="1417"/>
      <c r="AC619" s="1439"/>
      <c r="AD619" s="1440"/>
      <c r="AE619" s="1441"/>
      <c r="AF619" s="1337"/>
      <c r="AG619" s="1338"/>
      <c r="AH619" s="1338"/>
      <c r="AI619" s="1338"/>
      <c r="AJ619" s="1339"/>
      <c r="AK619" s="1533"/>
      <c r="AL619" s="1534"/>
      <c r="AM619" s="1534"/>
      <c r="AN619" s="1535"/>
      <c r="AO619" s="1417"/>
      <c r="AP619" s="1417"/>
      <c r="AQ619" s="1417"/>
      <c r="AR619" s="1417"/>
      <c r="AS619" s="1417"/>
      <c r="AT619" s="41"/>
      <c r="AU619" s="41"/>
      <c r="AV619" s="41"/>
      <c r="AW619" s="41"/>
      <c r="AX619" s="41"/>
      <c r="AY619" s="41"/>
      <c r="AZ619" s="41"/>
      <c r="BE619" s="1318">
        <f t="shared" si="23"/>
        <v>0</v>
      </c>
      <c r="BF619" s="1320"/>
      <c r="BG619" s="1312">
        <f t="shared" si="24"/>
        <v>0</v>
      </c>
      <c r="BH619" s="1314"/>
      <c r="BI619" s="1318">
        <f t="shared" si="25"/>
        <v>0</v>
      </c>
      <c r="BJ619" s="1320"/>
      <c r="BK619" s="1312">
        <f t="shared" si="26"/>
        <v>0</v>
      </c>
      <c r="BL619" s="1314"/>
      <c r="BN619" s="1312">
        <f t="shared" si="9"/>
        <v>0</v>
      </c>
      <c r="BO619" s="1313"/>
      <c r="BP619" s="1313"/>
      <c r="BQ619" s="1313"/>
      <c r="BR619" s="1323"/>
      <c r="BS619" s="1312">
        <f t="shared" si="10"/>
        <v>0</v>
      </c>
      <c r="BT619" s="1313"/>
      <c r="BU619" s="1313"/>
      <c r="BV619" s="1313"/>
      <c r="BW619" s="1314"/>
      <c r="BX619" s="1312">
        <f t="shared" si="11"/>
        <v>0</v>
      </c>
      <c r="BY619" s="1313"/>
      <c r="BZ619" s="1313"/>
      <c r="CA619" s="1313"/>
      <c r="CB619" s="1314"/>
      <c r="CC619" s="1312">
        <f t="shared" si="12"/>
        <v>0</v>
      </c>
      <c r="CD619" s="1313"/>
      <c r="CE619" s="1313"/>
      <c r="CF619" s="1313"/>
      <c r="CG619" s="1314"/>
      <c r="CH619" s="1312">
        <f t="shared" si="13"/>
        <v>0</v>
      </c>
      <c r="CI619" s="1313"/>
      <c r="CJ619" s="1313"/>
      <c r="CK619" s="1313"/>
      <c r="CL619" s="1314"/>
      <c r="CM619" s="1321">
        <f t="shared" si="14"/>
        <v>0</v>
      </c>
      <c r="CN619" s="1322"/>
      <c r="CO619" s="1322"/>
      <c r="CP619" s="1322"/>
      <c r="CQ619" s="1323"/>
      <c r="CS619" s="1324">
        <f t="shared" si="27"/>
        <v>0</v>
      </c>
      <c r="CT619" s="1325"/>
      <c r="CU619" s="1325"/>
      <c r="CV619" s="1325"/>
      <c r="CW619" s="1326"/>
      <c r="CX619" s="1324">
        <f t="shared" si="28"/>
        <v>0</v>
      </c>
      <c r="CY619" s="1325"/>
      <c r="CZ619" s="1325"/>
      <c r="DA619" s="1325"/>
      <c r="DB619" s="1326"/>
      <c r="DC619" s="1324">
        <f t="shared" si="29"/>
        <v>0</v>
      </c>
      <c r="DD619" s="1325"/>
      <c r="DE619" s="1325"/>
      <c r="DF619" s="1325"/>
      <c r="DG619" s="1326"/>
      <c r="DH619" s="1324">
        <f t="shared" si="30"/>
        <v>0</v>
      </c>
      <c r="DI619" s="1325"/>
      <c r="DJ619" s="1325"/>
      <c r="DK619" s="1325"/>
      <c r="DL619" s="1326"/>
      <c r="DM619" s="1324">
        <f t="shared" si="31"/>
        <v>0</v>
      </c>
      <c r="DN619" s="1325"/>
      <c r="DO619" s="1325"/>
      <c r="DP619" s="1325"/>
      <c r="DQ619" s="1326"/>
      <c r="DR619" s="1324">
        <f t="shared" si="32"/>
        <v>0</v>
      </c>
      <c r="DS619" s="1325"/>
      <c r="DT619" s="1325"/>
      <c r="DU619" s="1325"/>
      <c r="DV619" s="1326"/>
    </row>
    <row r="620" spans="1:126" ht="12.9" customHeight="1">
      <c r="B620" s="1600"/>
      <c r="C620" s="1601"/>
      <c r="D620" s="1601"/>
      <c r="E620" s="1601"/>
      <c r="F620" s="1601"/>
      <c r="G620" s="1601"/>
      <c r="H620" s="1601"/>
      <c r="I620" s="1601"/>
      <c r="J620" s="1601"/>
      <c r="K620" s="1601"/>
      <c r="L620" s="1601"/>
      <c r="M620" s="1417"/>
      <c r="N620" s="1417"/>
      <c r="O620" s="1417"/>
      <c r="P620" s="1417"/>
      <c r="Q620" s="1340"/>
      <c r="R620" s="1341"/>
      <c r="S620" s="1342"/>
      <c r="T620" s="1340"/>
      <c r="U620" s="1341"/>
      <c r="V620" s="1342"/>
      <c r="W620" s="1452"/>
      <c r="X620" s="1452"/>
      <c r="Y620" s="1453"/>
      <c r="Z620" s="1417"/>
      <c r="AA620" s="1417"/>
      <c r="AB620" s="1417"/>
      <c r="AC620" s="1442"/>
      <c r="AD620" s="1443"/>
      <c r="AE620" s="1444"/>
      <c r="AF620" s="1340"/>
      <c r="AG620" s="1341"/>
      <c r="AH620" s="1341"/>
      <c r="AI620" s="1341"/>
      <c r="AJ620" s="1342"/>
      <c r="AK620" s="1536"/>
      <c r="AL620" s="1537"/>
      <c r="AM620" s="1537"/>
      <c r="AN620" s="1538"/>
      <c r="AO620" s="1417"/>
      <c r="AP620" s="1417"/>
      <c r="AQ620" s="1417"/>
      <c r="AR620" s="1417"/>
      <c r="AS620" s="1417"/>
      <c r="AT620" s="43"/>
      <c r="AU620" s="43"/>
      <c r="AV620" s="43"/>
      <c r="AW620" s="43"/>
      <c r="AX620" s="43"/>
      <c r="AY620" s="43"/>
      <c r="AZ620" s="43"/>
      <c r="BE620" s="1318">
        <f t="shared" si="23"/>
        <v>0</v>
      </c>
      <c r="BF620" s="1320"/>
      <c r="BG620" s="1312">
        <f t="shared" si="24"/>
        <v>0</v>
      </c>
      <c r="BH620" s="1314"/>
      <c r="BI620" s="1318">
        <f t="shared" si="25"/>
        <v>0</v>
      </c>
      <c r="BJ620" s="1320"/>
      <c r="BK620" s="1312">
        <f t="shared" si="26"/>
        <v>0</v>
      </c>
      <c r="BL620" s="1314"/>
      <c r="BN620" s="1312">
        <f t="shared" si="9"/>
        <v>0</v>
      </c>
      <c r="BO620" s="1313"/>
      <c r="BP620" s="1313"/>
      <c r="BQ620" s="1313"/>
      <c r="BR620" s="1323"/>
      <c r="BS620" s="1312">
        <f t="shared" si="10"/>
        <v>0</v>
      </c>
      <c r="BT620" s="1313"/>
      <c r="BU620" s="1313"/>
      <c r="BV620" s="1313"/>
      <c r="BW620" s="1314"/>
      <c r="BX620" s="1312">
        <f t="shared" si="11"/>
        <v>0</v>
      </c>
      <c r="BY620" s="1313"/>
      <c r="BZ620" s="1313"/>
      <c r="CA620" s="1313"/>
      <c r="CB620" s="1314"/>
      <c r="CC620" s="1312">
        <f t="shared" si="12"/>
        <v>0</v>
      </c>
      <c r="CD620" s="1313"/>
      <c r="CE620" s="1313"/>
      <c r="CF620" s="1313"/>
      <c r="CG620" s="1314"/>
      <c r="CH620" s="1312">
        <f t="shared" si="13"/>
        <v>0</v>
      </c>
      <c r="CI620" s="1313"/>
      <c r="CJ620" s="1313"/>
      <c r="CK620" s="1313"/>
      <c r="CL620" s="1314"/>
      <c r="CM620" s="1321">
        <f t="shared" si="14"/>
        <v>0</v>
      </c>
      <c r="CN620" s="1322"/>
      <c r="CO620" s="1322"/>
      <c r="CP620" s="1322"/>
      <c r="CQ620" s="1323"/>
      <c r="CS620" s="1324">
        <f t="shared" si="27"/>
        <v>0</v>
      </c>
      <c r="CT620" s="1325"/>
      <c r="CU620" s="1325"/>
      <c r="CV620" s="1325"/>
      <c r="CW620" s="1326"/>
      <c r="CX620" s="1324">
        <f t="shared" si="28"/>
        <v>0</v>
      </c>
      <c r="CY620" s="1325"/>
      <c r="CZ620" s="1325"/>
      <c r="DA620" s="1325"/>
      <c r="DB620" s="1326"/>
      <c r="DC620" s="1324">
        <f t="shared" si="29"/>
        <v>0</v>
      </c>
      <c r="DD620" s="1325"/>
      <c r="DE620" s="1325"/>
      <c r="DF620" s="1325"/>
      <c r="DG620" s="1326"/>
      <c r="DH620" s="1324">
        <f t="shared" si="30"/>
        <v>0</v>
      </c>
      <c r="DI620" s="1325"/>
      <c r="DJ620" s="1325"/>
      <c r="DK620" s="1325"/>
      <c r="DL620" s="1326"/>
      <c r="DM620" s="1324">
        <f t="shared" si="31"/>
        <v>0</v>
      </c>
      <c r="DN620" s="1325"/>
      <c r="DO620" s="1325"/>
      <c r="DP620" s="1325"/>
      <c r="DQ620" s="1326"/>
      <c r="DR620" s="1324">
        <f t="shared" si="32"/>
        <v>0</v>
      </c>
      <c r="DS620" s="1325"/>
      <c r="DT620" s="1325"/>
      <c r="DU620" s="1325"/>
      <c r="DV620" s="1326"/>
    </row>
    <row r="621" spans="1:126" ht="12.9" customHeight="1">
      <c r="B621" s="57" t="s">
        <v>900</v>
      </c>
      <c r="C621" s="1054" t="s">
        <v>2451</v>
      </c>
      <c r="D621" s="1054"/>
      <c r="E621" s="1054"/>
      <c r="F621" s="1054"/>
      <c r="G621" s="1054"/>
      <c r="H621" s="1054"/>
      <c r="I621" s="1054"/>
      <c r="J621" s="1054"/>
      <c r="K621" s="1054"/>
      <c r="L621" s="1054"/>
      <c r="M621" s="1109" t="s">
        <v>2183</v>
      </c>
      <c r="N621" s="1109"/>
      <c r="O621" s="1109"/>
      <c r="P621" s="1109"/>
      <c r="Q621" s="1110">
        <f>35*12</f>
        <v>420</v>
      </c>
      <c r="R621" s="1111"/>
      <c r="S621" s="1112"/>
      <c r="T621" s="1103">
        <v>420</v>
      </c>
      <c r="U621" s="1104"/>
      <c r="V621" s="1105"/>
      <c r="W621" s="1106">
        <v>6.3E-2</v>
      </c>
      <c r="X621" s="1107"/>
      <c r="Y621" s="1108"/>
      <c r="Z621" s="1058" t="s">
        <v>1977</v>
      </c>
      <c r="AA621" s="1059"/>
      <c r="AB621" s="1060"/>
      <c r="AC621" s="1091">
        <v>1</v>
      </c>
      <c r="AD621" s="1092"/>
      <c r="AE621" s="1093"/>
      <c r="AF621" s="1084">
        <v>314246</v>
      </c>
      <c r="AG621" s="1085"/>
      <c r="AH621" s="1085"/>
      <c r="AI621" s="1085"/>
      <c r="AJ621" s="1086"/>
      <c r="AK621" s="1081"/>
      <c r="AL621" s="1082"/>
      <c r="AM621" s="1082"/>
      <c r="AN621" s="1083"/>
      <c r="AO621" s="1076">
        <v>4592707</v>
      </c>
      <c r="AP621" s="1076"/>
      <c r="AQ621" s="1076"/>
      <c r="AR621" s="1076"/>
      <c r="AS621" s="1076"/>
      <c r="AT621" s="946" t="str">
        <f t="shared" ref="AT621:AT632" si="33">IF(AND(NOT(C620=""),C621="",NOT(C622="")),"!","")</f>
        <v/>
      </c>
      <c r="AU621" s="43"/>
      <c r="AV621" s="43"/>
      <c r="AW621" s="43"/>
      <c r="AX621" s="43"/>
      <c r="AY621" s="43"/>
      <c r="BA621" s="41" t="s">
        <v>1977</v>
      </c>
      <c r="BC621" s="43"/>
      <c r="BD621" s="43"/>
      <c r="BE621" s="1318">
        <f t="shared" si="23"/>
        <v>0</v>
      </c>
      <c r="BF621" s="1320"/>
      <c r="BG621" s="1312">
        <f t="shared" si="24"/>
        <v>0</v>
      </c>
      <c r="BH621" s="1314"/>
      <c r="BI621" s="1318">
        <f t="shared" si="25"/>
        <v>0</v>
      </c>
      <c r="BJ621" s="1320"/>
      <c r="BK621" s="1312">
        <f t="shared" si="26"/>
        <v>0</v>
      </c>
      <c r="BL621" s="1314"/>
      <c r="BN621" s="1312">
        <f t="shared" si="9"/>
        <v>0</v>
      </c>
      <c r="BO621" s="1313"/>
      <c r="BP621" s="1313"/>
      <c r="BQ621" s="1313"/>
      <c r="BR621" s="1323"/>
      <c r="BS621" s="1312">
        <f t="shared" si="10"/>
        <v>0</v>
      </c>
      <c r="BT621" s="1313"/>
      <c r="BU621" s="1313"/>
      <c r="BV621" s="1313"/>
      <c r="BW621" s="1314"/>
      <c r="BX621" s="1312">
        <f t="shared" si="11"/>
        <v>0</v>
      </c>
      <c r="BY621" s="1313"/>
      <c r="BZ621" s="1313"/>
      <c r="CA621" s="1313"/>
      <c r="CB621" s="1314"/>
      <c r="CC621" s="1312">
        <f t="shared" si="12"/>
        <v>0</v>
      </c>
      <c r="CD621" s="1313"/>
      <c r="CE621" s="1313"/>
      <c r="CF621" s="1313"/>
      <c r="CG621" s="1314"/>
      <c r="CH621" s="1312">
        <f t="shared" si="13"/>
        <v>0</v>
      </c>
      <c r="CI621" s="1313"/>
      <c r="CJ621" s="1313"/>
      <c r="CK621" s="1313"/>
      <c r="CL621" s="1314"/>
      <c r="CM621" s="1321">
        <f t="shared" si="14"/>
        <v>0</v>
      </c>
      <c r="CN621" s="1322"/>
      <c r="CO621" s="1322"/>
      <c r="CP621" s="1322"/>
      <c r="CQ621" s="1323"/>
      <c r="CS621" s="1324">
        <f t="shared" si="27"/>
        <v>0</v>
      </c>
      <c r="CT621" s="1325"/>
      <c r="CU621" s="1325"/>
      <c r="CV621" s="1325"/>
      <c r="CW621" s="1326"/>
      <c r="CX621" s="1324">
        <f t="shared" si="28"/>
        <v>0</v>
      </c>
      <c r="CY621" s="1325"/>
      <c r="CZ621" s="1325"/>
      <c r="DA621" s="1325"/>
      <c r="DB621" s="1326"/>
      <c r="DC621" s="1324">
        <f t="shared" si="29"/>
        <v>0</v>
      </c>
      <c r="DD621" s="1325"/>
      <c r="DE621" s="1325"/>
      <c r="DF621" s="1325"/>
      <c r="DG621" s="1326"/>
      <c r="DH621" s="1324">
        <f t="shared" si="30"/>
        <v>0</v>
      </c>
      <c r="DI621" s="1325"/>
      <c r="DJ621" s="1325"/>
      <c r="DK621" s="1325"/>
      <c r="DL621" s="1326"/>
      <c r="DM621" s="1324">
        <f t="shared" si="31"/>
        <v>0</v>
      </c>
      <c r="DN621" s="1325"/>
      <c r="DO621" s="1325"/>
      <c r="DP621" s="1325"/>
      <c r="DQ621" s="1326"/>
      <c r="DR621" s="1324">
        <f t="shared" si="32"/>
        <v>0</v>
      </c>
      <c r="DS621" s="1325"/>
      <c r="DT621" s="1325"/>
      <c r="DU621" s="1325"/>
      <c r="DV621" s="1326"/>
    </row>
    <row r="622" spans="1:126" ht="12.9" customHeight="1">
      <c r="B622" s="58" t="s">
        <v>901</v>
      </c>
      <c r="C622" s="1054" t="s">
        <v>2449</v>
      </c>
      <c r="D622" s="1054"/>
      <c r="E622" s="1054"/>
      <c r="F622" s="1054"/>
      <c r="G622" s="1054"/>
      <c r="H622" s="1054"/>
      <c r="I622" s="1054"/>
      <c r="J622" s="1054"/>
      <c r="K622" s="1054"/>
      <c r="L622" s="1054"/>
      <c r="M622" s="1109" t="s">
        <v>2180</v>
      </c>
      <c r="N622" s="1109"/>
      <c r="O622" s="1109"/>
      <c r="P622" s="1109"/>
      <c r="Q622" s="1110">
        <v>660</v>
      </c>
      <c r="R622" s="1111"/>
      <c r="S622" s="1112"/>
      <c r="T622" s="1103">
        <v>660</v>
      </c>
      <c r="U622" s="1104"/>
      <c r="V622" s="1105"/>
      <c r="W622" s="1106">
        <v>0.03</v>
      </c>
      <c r="X622" s="1107"/>
      <c r="Y622" s="1108"/>
      <c r="Z622" s="1058" t="s">
        <v>1977</v>
      </c>
      <c r="AA622" s="1059"/>
      <c r="AB622" s="1060"/>
      <c r="AC622" s="1091"/>
      <c r="AD622" s="1092"/>
      <c r="AE622" s="1093"/>
      <c r="AF622" s="1084"/>
      <c r="AG622" s="1085"/>
      <c r="AH622" s="1085"/>
      <c r="AI622" s="1085"/>
      <c r="AJ622" s="1086"/>
      <c r="AK622" s="1081"/>
      <c r="AL622" s="1082"/>
      <c r="AM622" s="1082"/>
      <c r="AN622" s="1083"/>
      <c r="AO622" s="1076">
        <v>6230384</v>
      </c>
      <c r="AP622" s="1076"/>
      <c r="AQ622" s="1076"/>
      <c r="AR622" s="1076"/>
      <c r="AS622" s="1076"/>
      <c r="AT622" s="946" t="str">
        <f t="shared" si="33"/>
        <v/>
      </c>
      <c r="AU622" s="43"/>
      <c r="AV622" s="43"/>
      <c r="AW622" s="43"/>
      <c r="AX622" s="43"/>
      <c r="AY622" s="43"/>
      <c r="BA622" s="41" t="s">
        <v>789</v>
      </c>
      <c r="BC622" s="43"/>
      <c r="BD622" s="43"/>
      <c r="BE622" s="1318">
        <f t="shared" si="23"/>
        <v>0</v>
      </c>
      <c r="BF622" s="1320"/>
      <c r="BG622" s="1312">
        <f t="shared" si="24"/>
        <v>0</v>
      </c>
      <c r="BH622" s="1314"/>
      <c r="BI622" s="1318">
        <f t="shared" si="25"/>
        <v>0</v>
      </c>
      <c r="BJ622" s="1320"/>
      <c r="BK622" s="1312">
        <f t="shared" si="26"/>
        <v>0</v>
      </c>
      <c r="BL622" s="1314"/>
      <c r="BN622" s="1312">
        <f t="shared" si="9"/>
        <v>0</v>
      </c>
      <c r="BO622" s="1313"/>
      <c r="BP622" s="1313"/>
      <c r="BQ622" s="1313"/>
      <c r="BR622" s="1323"/>
      <c r="BS622" s="1312">
        <f t="shared" si="10"/>
        <v>0</v>
      </c>
      <c r="BT622" s="1313"/>
      <c r="BU622" s="1313"/>
      <c r="BV622" s="1313"/>
      <c r="BW622" s="1314"/>
      <c r="BX622" s="1312">
        <f t="shared" si="11"/>
        <v>0</v>
      </c>
      <c r="BY622" s="1313"/>
      <c r="BZ622" s="1313"/>
      <c r="CA622" s="1313"/>
      <c r="CB622" s="1314"/>
      <c r="CC622" s="1312">
        <f t="shared" si="12"/>
        <v>0</v>
      </c>
      <c r="CD622" s="1313"/>
      <c r="CE622" s="1313"/>
      <c r="CF622" s="1313"/>
      <c r="CG622" s="1314"/>
      <c r="CH622" s="1312">
        <f t="shared" si="13"/>
        <v>0</v>
      </c>
      <c r="CI622" s="1313"/>
      <c r="CJ622" s="1313"/>
      <c r="CK622" s="1313"/>
      <c r="CL622" s="1314"/>
      <c r="CM622" s="1321">
        <f t="shared" si="14"/>
        <v>0</v>
      </c>
      <c r="CN622" s="1322"/>
      <c r="CO622" s="1322"/>
      <c r="CP622" s="1322"/>
      <c r="CQ622" s="1323"/>
      <c r="CS622" s="1324">
        <f t="shared" si="27"/>
        <v>0</v>
      </c>
      <c r="CT622" s="1325"/>
      <c r="CU622" s="1325"/>
      <c r="CV622" s="1325"/>
      <c r="CW622" s="1326"/>
      <c r="CX622" s="1324">
        <f t="shared" si="28"/>
        <v>0</v>
      </c>
      <c r="CY622" s="1325"/>
      <c r="CZ622" s="1325"/>
      <c r="DA622" s="1325"/>
      <c r="DB622" s="1326"/>
      <c r="DC622" s="1324">
        <f t="shared" si="29"/>
        <v>0</v>
      </c>
      <c r="DD622" s="1325"/>
      <c r="DE622" s="1325"/>
      <c r="DF622" s="1325"/>
      <c r="DG622" s="1326"/>
      <c r="DH622" s="1324">
        <f t="shared" si="30"/>
        <v>0</v>
      </c>
      <c r="DI622" s="1325"/>
      <c r="DJ622" s="1325"/>
      <c r="DK622" s="1325"/>
      <c r="DL622" s="1326"/>
      <c r="DM622" s="1324">
        <f t="shared" si="31"/>
        <v>0</v>
      </c>
      <c r="DN622" s="1325"/>
      <c r="DO622" s="1325"/>
      <c r="DP622" s="1325"/>
      <c r="DQ622" s="1326"/>
      <c r="DR622" s="1324">
        <f t="shared" si="32"/>
        <v>0</v>
      </c>
      <c r="DS622" s="1325"/>
      <c r="DT622" s="1325"/>
      <c r="DU622" s="1325"/>
      <c r="DV622" s="1326"/>
    </row>
    <row r="623" spans="1:126" ht="12.9" customHeight="1">
      <c r="B623" s="58" t="s">
        <v>907</v>
      </c>
      <c r="C623" s="1054" t="s">
        <v>2452</v>
      </c>
      <c r="D623" s="1054"/>
      <c r="E623" s="1054"/>
      <c r="F623" s="1054"/>
      <c r="G623" s="1054"/>
      <c r="H623" s="1054"/>
      <c r="I623" s="1054"/>
      <c r="J623" s="1054"/>
      <c r="K623" s="1054"/>
      <c r="L623" s="1054"/>
      <c r="M623" s="1109" t="s">
        <v>2180</v>
      </c>
      <c r="N623" s="1109"/>
      <c r="O623" s="1109"/>
      <c r="P623" s="1109"/>
      <c r="Q623" s="1110"/>
      <c r="R623" s="1111"/>
      <c r="S623" s="1112"/>
      <c r="T623" s="1103"/>
      <c r="U623" s="1104"/>
      <c r="V623" s="1105"/>
      <c r="W623" s="1106"/>
      <c r="X623" s="1107"/>
      <c r="Y623" s="1108"/>
      <c r="Z623" s="1058" t="s">
        <v>1977</v>
      </c>
      <c r="AA623" s="1059"/>
      <c r="AB623" s="1060"/>
      <c r="AC623" s="1091"/>
      <c r="AD623" s="1092"/>
      <c r="AE623" s="1093"/>
      <c r="AF623" s="1084"/>
      <c r="AG623" s="1085"/>
      <c r="AH623" s="1085"/>
      <c r="AI623" s="1085"/>
      <c r="AJ623" s="1086"/>
      <c r="AK623" s="1081"/>
      <c r="AL623" s="1082"/>
      <c r="AM623" s="1082"/>
      <c r="AN623" s="1083"/>
      <c r="AO623" s="1076">
        <v>2165681</v>
      </c>
      <c r="AP623" s="1076"/>
      <c r="AQ623" s="1076"/>
      <c r="AR623" s="1076"/>
      <c r="AS623" s="1076"/>
      <c r="AT623" s="946" t="str">
        <f t="shared" si="33"/>
        <v/>
      </c>
      <c r="AU623" s="43"/>
      <c r="AV623" s="43"/>
      <c r="AW623" s="43"/>
      <c r="AX623" s="43"/>
      <c r="AY623" s="43"/>
      <c r="AZ623" s="43"/>
      <c r="BA623" s="41" t="s">
        <v>788</v>
      </c>
      <c r="BB623" s="43"/>
      <c r="BC623" s="43"/>
      <c r="BD623" s="43"/>
      <c r="BE623" s="1318">
        <f t="shared" si="23"/>
        <v>0</v>
      </c>
      <c r="BF623" s="1320"/>
      <c r="BG623" s="1312">
        <f t="shared" si="24"/>
        <v>0</v>
      </c>
      <c r="BH623" s="1314"/>
      <c r="BI623" s="1318">
        <f t="shared" si="25"/>
        <v>0</v>
      </c>
      <c r="BJ623" s="1320"/>
      <c r="BK623" s="1312">
        <f t="shared" si="26"/>
        <v>0</v>
      </c>
      <c r="BL623" s="1314"/>
      <c r="BN623" s="1312">
        <f t="shared" si="9"/>
        <v>0</v>
      </c>
      <c r="BO623" s="1313"/>
      <c r="BP623" s="1313"/>
      <c r="BQ623" s="1313"/>
      <c r="BR623" s="1323"/>
      <c r="BS623" s="1312">
        <f t="shared" si="10"/>
        <v>0</v>
      </c>
      <c r="BT623" s="1313"/>
      <c r="BU623" s="1313"/>
      <c r="BV623" s="1313"/>
      <c r="BW623" s="1314"/>
      <c r="BX623" s="1312">
        <f t="shared" si="11"/>
        <v>0</v>
      </c>
      <c r="BY623" s="1313"/>
      <c r="BZ623" s="1313"/>
      <c r="CA623" s="1313"/>
      <c r="CB623" s="1314"/>
      <c r="CC623" s="1312">
        <f t="shared" si="12"/>
        <v>0</v>
      </c>
      <c r="CD623" s="1313"/>
      <c r="CE623" s="1313"/>
      <c r="CF623" s="1313"/>
      <c r="CG623" s="1314"/>
      <c r="CH623" s="1312">
        <f t="shared" si="13"/>
        <v>0</v>
      </c>
      <c r="CI623" s="1313"/>
      <c r="CJ623" s="1313"/>
      <c r="CK623" s="1313"/>
      <c r="CL623" s="1314"/>
      <c r="CM623" s="1321">
        <f t="shared" si="14"/>
        <v>0</v>
      </c>
      <c r="CN623" s="1322"/>
      <c r="CO623" s="1322"/>
      <c r="CP623" s="1322"/>
      <c r="CQ623" s="1323"/>
      <c r="CS623" s="1324">
        <f t="shared" si="27"/>
        <v>0</v>
      </c>
      <c r="CT623" s="1325"/>
      <c r="CU623" s="1325"/>
      <c r="CV623" s="1325"/>
      <c r="CW623" s="1326"/>
      <c r="CX623" s="1324">
        <f t="shared" si="28"/>
        <v>0</v>
      </c>
      <c r="CY623" s="1325"/>
      <c r="CZ623" s="1325"/>
      <c r="DA623" s="1325"/>
      <c r="DB623" s="1326"/>
      <c r="DC623" s="1324">
        <f t="shared" si="29"/>
        <v>0</v>
      </c>
      <c r="DD623" s="1325"/>
      <c r="DE623" s="1325"/>
      <c r="DF623" s="1325"/>
      <c r="DG623" s="1326"/>
      <c r="DH623" s="1324">
        <f t="shared" si="30"/>
        <v>0</v>
      </c>
      <c r="DI623" s="1325"/>
      <c r="DJ623" s="1325"/>
      <c r="DK623" s="1325"/>
      <c r="DL623" s="1326"/>
      <c r="DM623" s="1324">
        <f t="shared" si="31"/>
        <v>0</v>
      </c>
      <c r="DN623" s="1325"/>
      <c r="DO623" s="1325"/>
      <c r="DP623" s="1325"/>
      <c r="DQ623" s="1326"/>
      <c r="DR623" s="1324">
        <f t="shared" si="32"/>
        <v>0</v>
      </c>
      <c r="DS623" s="1325"/>
      <c r="DT623" s="1325"/>
      <c r="DU623" s="1325"/>
      <c r="DV623" s="1326"/>
    </row>
    <row r="624" spans="1:126" ht="12.9" customHeight="1">
      <c r="B624" s="58" t="s">
        <v>431</v>
      </c>
      <c r="C624" s="1054" t="s">
        <v>2453</v>
      </c>
      <c r="D624" s="1054"/>
      <c r="E624" s="1054"/>
      <c r="F624" s="1054"/>
      <c r="G624" s="1054"/>
      <c r="H624" s="1054"/>
      <c r="I624" s="1054"/>
      <c r="J624" s="1054"/>
      <c r="K624" s="1054"/>
      <c r="L624" s="1054"/>
      <c r="M624" s="1109" t="s">
        <v>2180</v>
      </c>
      <c r="N624" s="1109"/>
      <c r="O624" s="1109"/>
      <c r="P624" s="1109"/>
      <c r="Q624" s="1110"/>
      <c r="R624" s="1111"/>
      <c r="S624" s="1112"/>
      <c r="T624" s="1103"/>
      <c r="U624" s="1104"/>
      <c r="V624" s="1105"/>
      <c r="W624" s="1106"/>
      <c r="X624" s="1107"/>
      <c r="Y624" s="1108"/>
      <c r="Z624" s="1058" t="s">
        <v>1977</v>
      </c>
      <c r="AA624" s="1059"/>
      <c r="AB624" s="1060"/>
      <c r="AC624" s="1091"/>
      <c r="AD624" s="1092"/>
      <c r="AE624" s="1093"/>
      <c r="AF624" s="1084"/>
      <c r="AG624" s="1085"/>
      <c r="AH624" s="1085"/>
      <c r="AI624" s="1085"/>
      <c r="AJ624" s="1086"/>
      <c r="AK624" s="1081"/>
      <c r="AL624" s="1082"/>
      <c r="AM624" s="1082"/>
      <c r="AN624" s="1083"/>
      <c r="AO624" s="1076">
        <v>2570805</v>
      </c>
      <c r="AP624" s="1076"/>
      <c r="AQ624" s="1076"/>
      <c r="AR624" s="1076"/>
      <c r="AS624" s="1076"/>
      <c r="AT624" s="946" t="str">
        <f t="shared" si="33"/>
        <v/>
      </c>
      <c r="AU624" s="43"/>
      <c r="AV624" s="43"/>
      <c r="AW624" s="43"/>
      <c r="AX624" s="43"/>
      <c r="AY624" s="43"/>
      <c r="AZ624" s="43"/>
      <c r="BA624" s="41" t="s">
        <v>2196</v>
      </c>
      <c r="BE624" s="1318">
        <f t="shared" si="23"/>
        <v>0</v>
      </c>
      <c r="BF624" s="1320"/>
      <c r="BG624" s="1312">
        <f t="shared" si="24"/>
        <v>0</v>
      </c>
      <c r="BH624" s="1314"/>
      <c r="BI624" s="1318">
        <f t="shared" si="25"/>
        <v>0</v>
      </c>
      <c r="BJ624" s="1320"/>
      <c r="BK624" s="1312">
        <f t="shared" si="26"/>
        <v>0</v>
      </c>
      <c r="BL624" s="1314"/>
      <c r="BN624" s="1312">
        <f t="shared" si="9"/>
        <v>0</v>
      </c>
      <c r="BO624" s="1313"/>
      <c r="BP624" s="1313"/>
      <c r="BQ624" s="1313"/>
      <c r="BR624" s="1323"/>
      <c r="BS624" s="1312">
        <f t="shared" si="10"/>
        <v>0</v>
      </c>
      <c r="BT624" s="1313"/>
      <c r="BU624" s="1313"/>
      <c r="BV624" s="1313"/>
      <c r="BW624" s="1314"/>
      <c r="BX624" s="1312">
        <f t="shared" si="11"/>
        <v>0</v>
      </c>
      <c r="BY624" s="1313"/>
      <c r="BZ624" s="1313"/>
      <c r="CA624" s="1313"/>
      <c r="CB624" s="1314"/>
      <c r="CC624" s="1312">
        <f t="shared" si="12"/>
        <v>0</v>
      </c>
      <c r="CD624" s="1313"/>
      <c r="CE624" s="1313"/>
      <c r="CF624" s="1313"/>
      <c r="CG624" s="1314"/>
      <c r="CH624" s="1312">
        <f t="shared" si="13"/>
        <v>0</v>
      </c>
      <c r="CI624" s="1313"/>
      <c r="CJ624" s="1313"/>
      <c r="CK624" s="1313"/>
      <c r="CL624" s="1314"/>
      <c r="CM624" s="1321">
        <f t="shared" si="14"/>
        <v>0</v>
      </c>
      <c r="CN624" s="1322"/>
      <c r="CO624" s="1322"/>
      <c r="CP624" s="1322"/>
      <c r="CQ624" s="1323"/>
      <c r="CS624" s="1324">
        <f t="shared" si="27"/>
        <v>0</v>
      </c>
      <c r="CT624" s="1325"/>
      <c r="CU624" s="1325"/>
      <c r="CV624" s="1325"/>
      <c r="CW624" s="1326"/>
      <c r="CX624" s="1324">
        <f t="shared" si="28"/>
        <v>0</v>
      </c>
      <c r="CY624" s="1325"/>
      <c r="CZ624" s="1325"/>
      <c r="DA624" s="1325"/>
      <c r="DB624" s="1326"/>
      <c r="DC624" s="1324">
        <f t="shared" si="29"/>
        <v>0</v>
      </c>
      <c r="DD624" s="1325"/>
      <c r="DE624" s="1325"/>
      <c r="DF624" s="1325"/>
      <c r="DG624" s="1326"/>
      <c r="DH624" s="1324">
        <f t="shared" si="30"/>
        <v>0</v>
      </c>
      <c r="DI624" s="1325"/>
      <c r="DJ624" s="1325"/>
      <c r="DK624" s="1325"/>
      <c r="DL624" s="1326"/>
      <c r="DM624" s="1324">
        <f t="shared" si="31"/>
        <v>0</v>
      </c>
      <c r="DN624" s="1325"/>
      <c r="DO624" s="1325"/>
      <c r="DP624" s="1325"/>
      <c r="DQ624" s="1326"/>
      <c r="DR624" s="1324">
        <f t="shared" si="32"/>
        <v>0</v>
      </c>
      <c r="DS624" s="1325"/>
      <c r="DT624" s="1325"/>
      <c r="DU624" s="1325"/>
      <c r="DV624" s="1326"/>
    </row>
    <row r="625" spans="1:126" ht="12.9" customHeight="1">
      <c r="B625" s="58" t="s">
        <v>171</v>
      </c>
      <c r="C625" s="1054" t="s">
        <v>2454</v>
      </c>
      <c r="D625" s="1054"/>
      <c r="E625" s="1054"/>
      <c r="F625" s="1054"/>
      <c r="G625" s="1054"/>
      <c r="H625" s="1054"/>
      <c r="I625" s="1054"/>
      <c r="J625" s="1054"/>
      <c r="K625" s="1054"/>
      <c r="L625" s="1054"/>
      <c r="M625" s="1109" t="s">
        <v>2175</v>
      </c>
      <c r="N625" s="1109"/>
      <c r="O625" s="1109"/>
      <c r="P625" s="1109"/>
      <c r="Q625" s="1110"/>
      <c r="R625" s="1111"/>
      <c r="S625" s="1112"/>
      <c r="T625" s="1103"/>
      <c r="U625" s="1104"/>
      <c r="V625" s="1105"/>
      <c r="W625" s="1106"/>
      <c r="X625" s="1107"/>
      <c r="Y625" s="1108"/>
      <c r="Z625" s="1058" t="s">
        <v>1977</v>
      </c>
      <c r="AA625" s="1059"/>
      <c r="AB625" s="1060"/>
      <c r="AC625" s="1091"/>
      <c r="AD625" s="1092"/>
      <c r="AE625" s="1093"/>
      <c r="AF625" s="1084"/>
      <c r="AG625" s="1085"/>
      <c r="AH625" s="1085"/>
      <c r="AI625" s="1085"/>
      <c r="AJ625" s="1086"/>
      <c r="AK625" s="1081"/>
      <c r="AL625" s="1082"/>
      <c r="AM625" s="1082"/>
      <c r="AN625" s="1083"/>
      <c r="AO625" s="1076">
        <v>492520</v>
      </c>
      <c r="AP625" s="1076"/>
      <c r="AQ625" s="1076"/>
      <c r="AR625" s="1076"/>
      <c r="AS625" s="1076"/>
      <c r="AT625" s="946" t="str">
        <f t="shared" si="33"/>
        <v/>
      </c>
      <c r="AU625" s="43"/>
      <c r="AV625" s="43"/>
      <c r="AW625" s="43"/>
      <c r="AX625" s="43"/>
      <c r="AY625" s="43"/>
      <c r="AZ625" s="43"/>
      <c r="BA625" s="41" t="s">
        <v>499</v>
      </c>
      <c r="BE625" s="1318">
        <f t="shared" si="23"/>
        <v>0</v>
      </c>
      <c r="BF625" s="1320"/>
      <c r="BG625" s="1312">
        <f t="shared" si="24"/>
        <v>0</v>
      </c>
      <c r="BH625" s="1314"/>
      <c r="BI625" s="1318">
        <f t="shared" si="25"/>
        <v>0</v>
      </c>
      <c r="BJ625" s="1320"/>
      <c r="BK625" s="1312">
        <f t="shared" si="26"/>
        <v>0</v>
      </c>
      <c r="BL625" s="1314"/>
      <c r="BN625" s="1312">
        <f t="shared" si="9"/>
        <v>0</v>
      </c>
      <c r="BO625" s="1313"/>
      <c r="BP625" s="1313"/>
      <c r="BQ625" s="1313"/>
      <c r="BR625" s="1323"/>
      <c r="BS625" s="1312">
        <f t="shared" si="10"/>
        <v>0</v>
      </c>
      <c r="BT625" s="1313"/>
      <c r="BU625" s="1313"/>
      <c r="BV625" s="1313"/>
      <c r="BW625" s="1314"/>
      <c r="BX625" s="1312">
        <f t="shared" si="11"/>
        <v>0</v>
      </c>
      <c r="BY625" s="1313"/>
      <c r="BZ625" s="1313"/>
      <c r="CA625" s="1313"/>
      <c r="CB625" s="1314"/>
      <c r="CC625" s="1312">
        <f t="shared" si="12"/>
        <v>0</v>
      </c>
      <c r="CD625" s="1313"/>
      <c r="CE625" s="1313"/>
      <c r="CF625" s="1313"/>
      <c r="CG625" s="1314"/>
      <c r="CH625" s="1312">
        <f t="shared" si="13"/>
        <v>0</v>
      </c>
      <c r="CI625" s="1313"/>
      <c r="CJ625" s="1313"/>
      <c r="CK625" s="1313"/>
      <c r="CL625" s="1314"/>
      <c r="CM625" s="1321">
        <f t="shared" si="14"/>
        <v>0</v>
      </c>
      <c r="CN625" s="1322"/>
      <c r="CO625" s="1322"/>
      <c r="CP625" s="1322"/>
      <c r="CQ625" s="1323"/>
      <c r="CS625" s="1324">
        <f t="shared" si="27"/>
        <v>0</v>
      </c>
      <c r="CT625" s="1325"/>
      <c r="CU625" s="1325"/>
      <c r="CV625" s="1325"/>
      <c r="CW625" s="1326"/>
      <c r="CX625" s="1324">
        <f t="shared" si="28"/>
        <v>0</v>
      </c>
      <c r="CY625" s="1325"/>
      <c r="CZ625" s="1325"/>
      <c r="DA625" s="1325"/>
      <c r="DB625" s="1326"/>
      <c r="DC625" s="1324">
        <f t="shared" si="29"/>
        <v>0</v>
      </c>
      <c r="DD625" s="1325"/>
      <c r="DE625" s="1325"/>
      <c r="DF625" s="1325"/>
      <c r="DG625" s="1326"/>
      <c r="DH625" s="1324">
        <f t="shared" si="30"/>
        <v>0</v>
      </c>
      <c r="DI625" s="1325"/>
      <c r="DJ625" s="1325"/>
      <c r="DK625" s="1325"/>
      <c r="DL625" s="1326"/>
      <c r="DM625" s="1324">
        <f t="shared" si="31"/>
        <v>0</v>
      </c>
      <c r="DN625" s="1325"/>
      <c r="DO625" s="1325"/>
      <c r="DP625" s="1325"/>
      <c r="DQ625" s="1326"/>
      <c r="DR625" s="1324">
        <f t="shared" si="32"/>
        <v>0</v>
      </c>
      <c r="DS625" s="1325"/>
      <c r="DT625" s="1325"/>
      <c r="DU625" s="1325"/>
      <c r="DV625" s="1326"/>
    </row>
    <row r="626" spans="1:126" ht="12.9" customHeight="1">
      <c r="B626" s="58" t="s">
        <v>434</v>
      </c>
      <c r="C626" s="1054" t="s">
        <v>2455</v>
      </c>
      <c r="D626" s="1054"/>
      <c r="E626" s="1054"/>
      <c r="F626" s="1054"/>
      <c r="G626" s="1054"/>
      <c r="H626" s="1054"/>
      <c r="I626" s="1054"/>
      <c r="J626" s="1054"/>
      <c r="K626" s="1054"/>
      <c r="L626" s="1054"/>
      <c r="M626" s="1109" t="s">
        <v>2171</v>
      </c>
      <c r="N626" s="1109"/>
      <c r="O626" s="1109"/>
      <c r="P626" s="1109"/>
      <c r="Q626" s="1110"/>
      <c r="R626" s="1111"/>
      <c r="S626" s="1112"/>
      <c r="T626" s="1103"/>
      <c r="U626" s="1104"/>
      <c r="V626" s="1105"/>
      <c r="W626" s="1106"/>
      <c r="X626" s="1107"/>
      <c r="Y626" s="1108"/>
      <c r="Z626" s="1058" t="s">
        <v>1977</v>
      </c>
      <c r="AA626" s="1059"/>
      <c r="AB626" s="1060"/>
      <c r="AC626" s="1091"/>
      <c r="AD626" s="1092"/>
      <c r="AE626" s="1093"/>
      <c r="AF626" s="1084"/>
      <c r="AG626" s="1085"/>
      <c r="AH626" s="1085"/>
      <c r="AI626" s="1085"/>
      <c r="AJ626" s="1086"/>
      <c r="AK626" s="1081"/>
      <c r="AL626" s="1082"/>
      <c r="AM626" s="1082"/>
      <c r="AN626" s="1083"/>
      <c r="AO626" s="1076">
        <v>1094151</v>
      </c>
      <c r="AP626" s="1076"/>
      <c r="AQ626" s="1076"/>
      <c r="AR626" s="1076"/>
      <c r="AS626" s="1076"/>
      <c r="AT626" s="946" t="str">
        <f t="shared" si="33"/>
        <v/>
      </c>
      <c r="AU626" s="43"/>
      <c r="AV626" s="43"/>
      <c r="AW626" s="43"/>
      <c r="AX626" s="43"/>
      <c r="AY626" s="43"/>
      <c r="AZ626" s="43"/>
      <c r="BE626" s="1318">
        <f>IF(AND(AH729&lt;=0.5,AH729&gt;=0.36),1,0)</f>
        <v>0</v>
      </c>
      <c r="BF626" s="1320"/>
      <c r="BG626" s="1312">
        <f>IF(BE626=1,G729,0)</f>
        <v>0</v>
      </c>
      <c r="BH626" s="1314"/>
      <c r="BI626" s="1318">
        <f>IF(AND(AH729&lt;=0.35,AH729&gt;0),1,0)</f>
        <v>0</v>
      </c>
      <c r="BJ626" s="1320"/>
      <c r="BK626" s="1312">
        <f>IF(BI626=1,G729,0)</f>
        <v>0</v>
      </c>
      <c r="BL626" s="1314"/>
      <c r="BN626" s="1318">
        <f>SUM(BN591:BR625)</f>
        <v>0</v>
      </c>
      <c r="BO626" s="1319"/>
      <c r="BP626" s="1319"/>
      <c r="BQ626" s="1319"/>
      <c r="BR626" s="1320"/>
      <c r="BS626" s="1318">
        <f t="shared" ref="BS626" si="34">SUM(BS591:BW625)</f>
        <v>0</v>
      </c>
      <c r="BT626" s="1319"/>
      <c r="BU626" s="1319"/>
      <c r="BV626" s="1319"/>
      <c r="BW626" s="1320"/>
      <c r="BX626" s="1318">
        <f t="shared" ref="BX626" si="35">SUM(BX591:CB625)</f>
        <v>31</v>
      </c>
      <c r="BY626" s="1319"/>
      <c r="BZ626" s="1319"/>
      <c r="CA626" s="1319"/>
      <c r="CB626" s="1320"/>
      <c r="CC626" s="1318">
        <f t="shared" ref="CC626" si="36">SUM(CC591:CG625)</f>
        <v>32</v>
      </c>
      <c r="CD626" s="1319"/>
      <c r="CE626" s="1319"/>
      <c r="CF626" s="1319"/>
      <c r="CG626" s="1320"/>
      <c r="CH626" s="1318">
        <f t="shared" ref="CH626" si="37">SUM(CH591:CL625)</f>
        <v>0</v>
      </c>
      <c r="CI626" s="1319"/>
      <c r="CJ626" s="1319"/>
      <c r="CK626" s="1319"/>
      <c r="CL626" s="1320"/>
      <c r="CM626" s="1318">
        <f t="shared" ref="CM626" si="38">SUM(CM591:CQ625)</f>
        <v>0</v>
      </c>
      <c r="CN626" s="1319"/>
      <c r="CO626" s="1319"/>
      <c r="CP626" s="1319"/>
      <c r="CQ626" s="1320"/>
      <c r="CS626" s="1324">
        <f>IF(AND(B729="SRO/Studio",AH729&lt;=0.3),G729,0)</f>
        <v>0</v>
      </c>
      <c r="CT626" s="1325"/>
      <c r="CU626" s="1325"/>
      <c r="CV626" s="1325"/>
      <c r="CW626" s="1326"/>
      <c r="CX626" s="1324">
        <f>IF(AND(B729="1 Bedroom",AH729&lt;=0.3),G729,0)</f>
        <v>0</v>
      </c>
      <c r="CY626" s="1325"/>
      <c r="CZ626" s="1325"/>
      <c r="DA626" s="1325"/>
      <c r="DB626" s="1326"/>
      <c r="DC626" s="1324">
        <f>IF(AND(B729="2 Bedrooms",AH729&lt;=0.3),G729,0)</f>
        <v>0</v>
      </c>
      <c r="DD626" s="1325"/>
      <c r="DE626" s="1325"/>
      <c r="DF626" s="1325"/>
      <c r="DG626" s="1326"/>
      <c r="DH626" s="1324">
        <f>IF(AND(B729="3 Bedrooms",AH729&lt;=0.3),G729,0)</f>
        <v>0</v>
      </c>
      <c r="DI626" s="1325"/>
      <c r="DJ626" s="1325"/>
      <c r="DK626" s="1325"/>
      <c r="DL626" s="1326"/>
      <c r="DM626" s="1324">
        <f>IF(AND(B729="4 Bedrooms",AH729&lt;=0.3),G729,0)</f>
        <v>0</v>
      </c>
      <c r="DN626" s="1325"/>
      <c r="DO626" s="1325"/>
      <c r="DP626" s="1325"/>
      <c r="DQ626" s="1326"/>
      <c r="DR626" s="1324">
        <f>IF(AND(B729="5 Bedrooms",AH729&lt;=0.3),G729,0)</f>
        <v>0</v>
      </c>
      <c r="DS626" s="1325"/>
      <c r="DT626" s="1325"/>
      <c r="DU626" s="1325"/>
      <c r="DV626" s="1326"/>
    </row>
    <row r="627" spans="1:126" ht="12.9" customHeight="1" thickBot="1">
      <c r="B627" s="58" t="s">
        <v>742</v>
      </c>
      <c r="C627" s="1332"/>
      <c r="D627" s="1332"/>
      <c r="E627" s="1332"/>
      <c r="F627" s="1332"/>
      <c r="G627" s="1332"/>
      <c r="H627" s="1332"/>
      <c r="I627" s="1332"/>
      <c r="J627" s="1332"/>
      <c r="K627" s="1332"/>
      <c r="L627" s="1332"/>
      <c r="M627" s="1398" t="s">
        <v>1977</v>
      </c>
      <c r="N627" s="1398"/>
      <c r="O627" s="1398"/>
      <c r="P627" s="1398"/>
      <c r="Q627" s="1399"/>
      <c r="R627" s="1400"/>
      <c r="S627" s="1401"/>
      <c r="T627" s="1463"/>
      <c r="U627" s="1464"/>
      <c r="V627" s="1465"/>
      <c r="W627" s="1445"/>
      <c r="X627" s="1446"/>
      <c r="Y627" s="1447"/>
      <c r="Z627" s="1454" t="s">
        <v>1977</v>
      </c>
      <c r="AA627" s="1455"/>
      <c r="AB627" s="1456"/>
      <c r="AC627" s="1087"/>
      <c r="AD627" s="1088"/>
      <c r="AE627" s="1089"/>
      <c r="AF627" s="1084"/>
      <c r="AG627" s="1085"/>
      <c r="AH627" s="1085"/>
      <c r="AI627" s="1085"/>
      <c r="AJ627" s="1086"/>
      <c r="AK627" s="1081"/>
      <c r="AL627" s="1082"/>
      <c r="AM627" s="1082"/>
      <c r="AN627" s="1083"/>
      <c r="AO627" s="1076"/>
      <c r="AP627" s="1076"/>
      <c r="AQ627" s="1076"/>
      <c r="AR627" s="1076"/>
      <c r="AS627" s="1076"/>
      <c r="AT627" s="946" t="str">
        <f t="shared" si="33"/>
        <v/>
      </c>
      <c r="AU627" s="43"/>
      <c r="AV627" s="43"/>
      <c r="AW627" s="43"/>
      <c r="AX627" s="43"/>
      <c r="AY627" s="43"/>
      <c r="AZ627" s="43"/>
      <c r="BE627" s="41"/>
      <c r="BF627" s="41"/>
      <c r="BG627" s="1318">
        <f>SUM(BG592:BH626)</f>
        <v>22</v>
      </c>
      <c r="BH627" s="1320"/>
      <c r="BI627" s="41"/>
      <c r="BJ627" s="41"/>
      <c r="BK627" s="1318">
        <f>SUM(BK592:BL626)</f>
        <v>15</v>
      </c>
      <c r="BL627" s="1320"/>
      <c r="BN627" s="41" t="s">
        <v>1723</v>
      </c>
      <c r="BO627" s="41"/>
      <c r="BP627" s="41"/>
      <c r="BQ627" s="41"/>
      <c r="BR627" s="467">
        <f>BN626*1</f>
        <v>0</v>
      </c>
      <c r="BS627" s="41"/>
      <c r="BT627" s="41"/>
      <c r="BU627" s="41"/>
      <c r="BV627" s="41"/>
      <c r="BW627" s="467">
        <f>BS626*1</f>
        <v>0</v>
      </c>
      <c r="BX627" s="41"/>
      <c r="BY627" s="41"/>
      <c r="BZ627" s="41"/>
      <c r="CA627" s="41"/>
      <c r="CB627" s="467">
        <f>BX626*2</f>
        <v>62</v>
      </c>
      <c r="CC627" s="41"/>
      <c r="CD627" s="41"/>
      <c r="CE627" s="41"/>
      <c r="CF627" s="41"/>
      <c r="CG627" s="467">
        <f>CC626*3</f>
        <v>96</v>
      </c>
      <c r="CH627" s="41"/>
      <c r="CI627" s="41"/>
      <c r="CJ627" s="41"/>
      <c r="CK627" s="41"/>
      <c r="CL627" s="467">
        <f>CH626*4</f>
        <v>0</v>
      </c>
      <c r="CM627" s="41"/>
      <c r="CN627" s="41"/>
      <c r="CO627" s="41"/>
      <c r="CP627" s="41"/>
      <c r="CQ627" s="466">
        <f>CM626*5</f>
        <v>0</v>
      </c>
      <c r="CS627" s="1318">
        <f>SUM(CS592:CW626)</f>
        <v>0</v>
      </c>
      <c r="CT627" s="1319"/>
      <c r="CU627" s="1319"/>
      <c r="CV627" s="1319"/>
      <c r="CW627" s="1320"/>
      <c r="CX627" s="1318">
        <f>SUM(CX592:DB626)</f>
        <v>0</v>
      </c>
      <c r="CY627" s="1319"/>
      <c r="CZ627" s="1319"/>
      <c r="DA627" s="1319"/>
      <c r="DB627" s="1320"/>
      <c r="DC627" s="1318">
        <f>SUM(DC592:DG626)</f>
        <v>7</v>
      </c>
      <c r="DD627" s="1319"/>
      <c r="DE627" s="1319"/>
      <c r="DF627" s="1319"/>
      <c r="DG627" s="1320"/>
      <c r="DH627" s="1318">
        <f>SUM(DH592:DL626)</f>
        <v>8</v>
      </c>
      <c r="DI627" s="1319"/>
      <c r="DJ627" s="1319"/>
      <c r="DK627" s="1319"/>
      <c r="DL627" s="1320"/>
      <c r="DM627" s="1318">
        <f>SUM(DM592:DQ626)</f>
        <v>0</v>
      </c>
      <c r="DN627" s="1319"/>
      <c r="DO627" s="1319"/>
      <c r="DP627" s="1319"/>
      <c r="DQ627" s="1320"/>
      <c r="DR627" s="1318">
        <f>SUM(DR592:DV626)</f>
        <v>0</v>
      </c>
      <c r="DS627" s="1319"/>
      <c r="DT627" s="1319"/>
      <c r="DU627" s="1319"/>
      <c r="DV627" s="1320"/>
    </row>
    <row r="628" spans="1:126" ht="12.9" customHeight="1" thickBot="1">
      <c r="B628" s="58" t="s">
        <v>743</v>
      </c>
      <c r="C628" s="1332"/>
      <c r="D628" s="1332"/>
      <c r="E628" s="1332"/>
      <c r="F628" s="1332"/>
      <c r="G628" s="1332"/>
      <c r="H628" s="1332"/>
      <c r="I628" s="1332"/>
      <c r="J628" s="1332"/>
      <c r="K628" s="1332"/>
      <c r="L628" s="1332"/>
      <c r="M628" s="1398" t="s">
        <v>1977</v>
      </c>
      <c r="N628" s="1398"/>
      <c r="O628" s="1398"/>
      <c r="P628" s="1398"/>
      <c r="Q628" s="1399"/>
      <c r="R628" s="1400"/>
      <c r="S628" s="1401"/>
      <c r="T628" s="1463"/>
      <c r="U628" s="1464"/>
      <c r="V628" s="1465"/>
      <c r="W628" s="1445"/>
      <c r="X628" s="1446"/>
      <c r="Y628" s="1447"/>
      <c r="Z628" s="1454" t="s">
        <v>1977</v>
      </c>
      <c r="AA628" s="1455"/>
      <c r="AB628" s="1456"/>
      <c r="AC628" s="1087"/>
      <c r="AD628" s="1088"/>
      <c r="AE628" s="1089"/>
      <c r="AF628" s="1084"/>
      <c r="AG628" s="1085"/>
      <c r="AH628" s="1085"/>
      <c r="AI628" s="1085"/>
      <c r="AJ628" s="1086"/>
      <c r="AK628" s="1081"/>
      <c r="AL628" s="1082"/>
      <c r="AM628" s="1082"/>
      <c r="AN628" s="1083"/>
      <c r="AO628" s="1076"/>
      <c r="AP628" s="1076"/>
      <c r="AQ628" s="1076"/>
      <c r="AR628" s="1076"/>
      <c r="AS628" s="1076"/>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158</v>
      </c>
      <c r="CR628" s="41"/>
      <c r="CS628" s="41"/>
    </row>
    <row r="629" spans="1:126" ht="12.9" customHeight="1">
      <c r="B629" s="58" t="s">
        <v>546</v>
      </c>
      <c r="C629" s="1332"/>
      <c r="D629" s="1332"/>
      <c r="E629" s="1332"/>
      <c r="F629" s="1332"/>
      <c r="G629" s="1332"/>
      <c r="H629" s="1332"/>
      <c r="I629" s="1332"/>
      <c r="J629" s="1332"/>
      <c r="K629" s="1332"/>
      <c r="L629" s="1332"/>
      <c r="M629" s="1398" t="s">
        <v>1977</v>
      </c>
      <c r="N629" s="1398"/>
      <c r="O629" s="1398"/>
      <c r="P629" s="1398"/>
      <c r="Q629" s="1399"/>
      <c r="R629" s="1400"/>
      <c r="S629" s="1401"/>
      <c r="T629" s="1463"/>
      <c r="U629" s="1464"/>
      <c r="V629" s="1465"/>
      <c r="W629" s="1445"/>
      <c r="X629" s="1446"/>
      <c r="Y629" s="1447"/>
      <c r="Z629" s="1454" t="s">
        <v>1977</v>
      </c>
      <c r="AA629" s="1455"/>
      <c r="AB629" s="1456"/>
      <c r="AC629" s="1087"/>
      <c r="AD629" s="1088"/>
      <c r="AE629" s="1089"/>
      <c r="AF629" s="1084"/>
      <c r="AG629" s="1085"/>
      <c r="AH629" s="1085"/>
      <c r="AI629" s="1085"/>
      <c r="AJ629" s="1086"/>
      <c r="AK629" s="1081"/>
      <c r="AL629" s="1082"/>
      <c r="AM629" s="1082"/>
      <c r="AN629" s="1083"/>
      <c r="AO629" s="1076"/>
      <c r="AP629" s="1076"/>
      <c r="AQ629" s="1076"/>
      <c r="AR629" s="1076"/>
      <c r="AS629" s="1076"/>
      <c r="AT629" s="946" t="str">
        <f t="shared" si="33"/>
        <v/>
      </c>
      <c r="AU629" s="41"/>
      <c r="AV629" s="41"/>
      <c r="AW629" s="41"/>
      <c r="AX629" s="41"/>
      <c r="AY629" s="41"/>
      <c r="AZ629" s="41"/>
      <c r="BN629" s="1312">
        <f>IF(J752="SRO/Studio",O752,0)</f>
        <v>0</v>
      </c>
      <c r="BO629" s="1313"/>
      <c r="BP629" s="1313"/>
      <c r="BQ629" s="1313"/>
      <c r="BR629" s="1314"/>
      <c r="BS629" s="1312">
        <f>IF(J752="1 Bedroom",O752,0)</f>
        <v>0</v>
      </c>
      <c r="BT629" s="1313"/>
      <c r="BU629" s="1313"/>
      <c r="BV629" s="1313"/>
      <c r="BW629" s="1314"/>
      <c r="BX629" s="1312">
        <f>IF(J752="2 Bedrooms",O752,0)</f>
        <v>1</v>
      </c>
      <c r="BY629" s="1313"/>
      <c r="BZ629" s="1313"/>
      <c r="CA629" s="1313"/>
      <c r="CB629" s="1314"/>
      <c r="CC629" s="1312">
        <f>IF(J752="3 Bedrooms",O752,0)</f>
        <v>0</v>
      </c>
      <c r="CD629" s="1313"/>
      <c r="CE629" s="1313"/>
      <c r="CF629" s="1313"/>
      <c r="CG629" s="1314"/>
      <c r="CH629" s="1312">
        <f>IF(J752="4 Bedrooms",O752,0)</f>
        <v>0</v>
      </c>
      <c r="CI629" s="1313"/>
      <c r="CJ629" s="1313"/>
      <c r="CK629" s="1313"/>
      <c r="CL629" s="1314"/>
      <c r="CM629" s="1321">
        <f>IF(J752="5 Bedrooms",O752,0)</f>
        <v>0</v>
      </c>
      <c r="CN629" s="1322"/>
      <c r="CO629" s="1322"/>
      <c r="CP629" s="1322"/>
      <c r="CQ629" s="1323"/>
      <c r="CR629" s="41"/>
      <c r="CS629" s="41"/>
    </row>
    <row r="630" spans="1:126" ht="12.9" customHeight="1">
      <c r="B630" s="58" t="s">
        <v>174</v>
      </c>
      <c r="C630" s="1332"/>
      <c r="D630" s="1332"/>
      <c r="E630" s="1332"/>
      <c r="F630" s="1332"/>
      <c r="G630" s="1332"/>
      <c r="H630" s="1332"/>
      <c r="I630" s="1332"/>
      <c r="J630" s="1332"/>
      <c r="K630" s="1332"/>
      <c r="L630" s="1332"/>
      <c r="M630" s="1398" t="s">
        <v>1977</v>
      </c>
      <c r="N630" s="1398"/>
      <c r="O630" s="1398"/>
      <c r="P630" s="1398"/>
      <c r="Q630" s="1399"/>
      <c r="R630" s="1400"/>
      <c r="S630" s="1401"/>
      <c r="T630" s="1463"/>
      <c r="U630" s="1464"/>
      <c r="V630" s="1465"/>
      <c r="W630" s="1445"/>
      <c r="X630" s="1446"/>
      <c r="Y630" s="1447"/>
      <c r="Z630" s="1454" t="s">
        <v>1977</v>
      </c>
      <c r="AA630" s="1455"/>
      <c r="AB630" s="1456"/>
      <c r="AC630" s="1087"/>
      <c r="AD630" s="1088"/>
      <c r="AE630" s="1089"/>
      <c r="AF630" s="1084"/>
      <c r="AG630" s="1085"/>
      <c r="AH630" s="1085"/>
      <c r="AI630" s="1085"/>
      <c r="AJ630" s="1086"/>
      <c r="AK630" s="1081"/>
      <c r="AL630" s="1082"/>
      <c r="AM630" s="1082"/>
      <c r="AN630" s="1083"/>
      <c r="AO630" s="1076"/>
      <c r="AP630" s="1076"/>
      <c r="AQ630" s="1076"/>
      <c r="AR630" s="1076"/>
      <c r="AS630" s="1076"/>
      <c r="AT630" s="946" t="str">
        <f t="shared" si="33"/>
        <v/>
      </c>
      <c r="AU630" s="41"/>
      <c r="AV630" s="41"/>
      <c r="AW630" s="41"/>
      <c r="AX630" s="41"/>
      <c r="AY630" s="41"/>
      <c r="AZ630" s="41"/>
      <c r="BN630" s="1312">
        <f>IF(J753="SRO/Studio",O753,0)</f>
        <v>0</v>
      </c>
      <c r="BO630" s="1313"/>
      <c r="BP630" s="1313"/>
      <c r="BQ630" s="1313"/>
      <c r="BR630" s="1314"/>
      <c r="BS630" s="1312">
        <f>IF(J753="1 Bedroom",O753,0)</f>
        <v>0</v>
      </c>
      <c r="BT630" s="1313"/>
      <c r="BU630" s="1313"/>
      <c r="BV630" s="1313"/>
      <c r="BW630" s="1314"/>
      <c r="BX630" s="1312">
        <f>IF(J753="2 Bedrooms",O753,0)</f>
        <v>0</v>
      </c>
      <c r="BY630" s="1313"/>
      <c r="BZ630" s="1313"/>
      <c r="CA630" s="1313"/>
      <c r="CB630" s="1314"/>
      <c r="CC630" s="1312">
        <f>IF(J753="3 Bedrooms",O753,0)</f>
        <v>0</v>
      </c>
      <c r="CD630" s="1313"/>
      <c r="CE630" s="1313"/>
      <c r="CF630" s="1313"/>
      <c r="CG630" s="1314"/>
      <c r="CH630" s="1312">
        <f>IF(J753="4 Bedrooms",O753,0)</f>
        <v>0</v>
      </c>
      <c r="CI630" s="1313"/>
      <c r="CJ630" s="1313"/>
      <c r="CK630" s="1313"/>
      <c r="CL630" s="1314"/>
      <c r="CM630" s="1321">
        <f>IF(J753="5 Bedrooms",O753,0)</f>
        <v>0</v>
      </c>
      <c r="CN630" s="1322"/>
      <c r="CO630" s="1322"/>
      <c r="CP630" s="1322"/>
      <c r="CQ630" s="1323"/>
      <c r="CR630" s="41"/>
      <c r="CS630" s="41"/>
    </row>
    <row r="631" spans="1:126" ht="12.9" customHeight="1">
      <c r="B631" s="58" t="s">
        <v>32</v>
      </c>
      <c r="C631" s="1332"/>
      <c r="D631" s="1332"/>
      <c r="E631" s="1332"/>
      <c r="F631" s="1332"/>
      <c r="G631" s="1332"/>
      <c r="H631" s="1332"/>
      <c r="I631" s="1332"/>
      <c r="J631" s="1332"/>
      <c r="K631" s="1332"/>
      <c r="L631" s="1332"/>
      <c r="M631" s="1398" t="s">
        <v>1977</v>
      </c>
      <c r="N631" s="1398"/>
      <c r="O631" s="1398"/>
      <c r="P631" s="1398"/>
      <c r="Q631" s="1399"/>
      <c r="R631" s="1400"/>
      <c r="S631" s="1401"/>
      <c r="T631" s="1463"/>
      <c r="U631" s="1464"/>
      <c r="V631" s="1465"/>
      <c r="W631" s="1445"/>
      <c r="X631" s="1446"/>
      <c r="Y631" s="1447"/>
      <c r="Z631" s="1454" t="s">
        <v>1977</v>
      </c>
      <c r="AA631" s="1455"/>
      <c r="AB631" s="1456"/>
      <c r="AC631" s="1087"/>
      <c r="AD631" s="1088"/>
      <c r="AE631" s="1089"/>
      <c r="AF631" s="1084"/>
      <c r="AG631" s="1085"/>
      <c r="AH631" s="1085"/>
      <c r="AI631" s="1085"/>
      <c r="AJ631" s="1086"/>
      <c r="AK631" s="1081"/>
      <c r="AL631" s="1082"/>
      <c r="AM631" s="1082"/>
      <c r="AN631" s="1083"/>
      <c r="AO631" s="1076"/>
      <c r="AP631" s="1076"/>
      <c r="AQ631" s="1076"/>
      <c r="AR631" s="1076"/>
      <c r="AS631" s="1076"/>
      <c r="AT631" s="946" t="str">
        <f t="shared" si="33"/>
        <v/>
      </c>
      <c r="AU631" s="41"/>
      <c r="AV631" s="41"/>
      <c r="AW631" s="41"/>
      <c r="AX631" s="41"/>
      <c r="AY631" s="41"/>
      <c r="AZ631" s="41"/>
      <c r="BN631" s="1312">
        <f>IF(J754="SRO/Studio",O754,0)</f>
        <v>0</v>
      </c>
      <c r="BO631" s="1313"/>
      <c r="BP631" s="1313"/>
      <c r="BQ631" s="1313"/>
      <c r="BR631" s="1314"/>
      <c r="BS631" s="1312">
        <f>IF(J754="1 Bedroom",O754,0)</f>
        <v>0</v>
      </c>
      <c r="BT631" s="1313"/>
      <c r="BU631" s="1313"/>
      <c r="BV631" s="1313"/>
      <c r="BW631" s="1314"/>
      <c r="BX631" s="1312">
        <f>IF(J754="2 Bedrooms",O754,0)</f>
        <v>0</v>
      </c>
      <c r="BY631" s="1313"/>
      <c r="BZ631" s="1313"/>
      <c r="CA631" s="1313"/>
      <c r="CB631" s="1314"/>
      <c r="CC631" s="1312">
        <f>IF(J754="3 Bedrooms",O754,0)</f>
        <v>0</v>
      </c>
      <c r="CD631" s="1313"/>
      <c r="CE631" s="1313"/>
      <c r="CF631" s="1313"/>
      <c r="CG631" s="1314"/>
      <c r="CH631" s="1312">
        <f>IF(J754="4 Bedrooms",O754,0)</f>
        <v>0</v>
      </c>
      <c r="CI631" s="1313"/>
      <c r="CJ631" s="1313"/>
      <c r="CK631" s="1313"/>
      <c r="CL631" s="1314"/>
      <c r="CM631" s="1321">
        <f>IF(J754="5 Bedrooms",O754,0)</f>
        <v>0</v>
      </c>
      <c r="CN631" s="1322"/>
      <c r="CO631" s="1322"/>
      <c r="CP631" s="1322"/>
      <c r="CQ631" s="1323"/>
      <c r="CR631" s="41"/>
      <c r="CS631" s="41"/>
    </row>
    <row r="632" spans="1:126" ht="12.9" customHeight="1">
      <c r="B632" s="58" t="s">
        <v>33</v>
      </c>
      <c r="C632" s="1332"/>
      <c r="D632" s="1332"/>
      <c r="E632" s="1332"/>
      <c r="F632" s="1332"/>
      <c r="G632" s="1332"/>
      <c r="H632" s="1332"/>
      <c r="I632" s="1332"/>
      <c r="J632" s="1332"/>
      <c r="K632" s="1332"/>
      <c r="L632" s="1332"/>
      <c r="M632" s="1398" t="s">
        <v>1977</v>
      </c>
      <c r="N632" s="1398"/>
      <c r="O632" s="1398"/>
      <c r="P632" s="1398"/>
      <c r="Q632" s="1399"/>
      <c r="R632" s="1400"/>
      <c r="S632" s="1401"/>
      <c r="T632" s="1463"/>
      <c r="U632" s="1464"/>
      <c r="V632" s="1465"/>
      <c r="W632" s="1445"/>
      <c r="X632" s="1446"/>
      <c r="Y632" s="1447"/>
      <c r="Z632" s="1454" t="s">
        <v>1977</v>
      </c>
      <c r="AA632" s="1455"/>
      <c r="AB632" s="1456"/>
      <c r="AC632" s="1087"/>
      <c r="AD632" s="1088"/>
      <c r="AE632" s="1089"/>
      <c r="AF632" s="1084"/>
      <c r="AG632" s="1085"/>
      <c r="AH632" s="1085"/>
      <c r="AI632" s="1085"/>
      <c r="AJ632" s="1086"/>
      <c r="AK632" s="1081"/>
      <c r="AL632" s="1082"/>
      <c r="AM632" s="1082"/>
      <c r="AN632" s="1083"/>
      <c r="AO632" s="1076"/>
      <c r="AP632" s="1076"/>
      <c r="AQ632" s="1076"/>
      <c r="AR632" s="1076"/>
      <c r="AS632" s="1076"/>
      <c r="AT632" s="946" t="str">
        <f t="shared" si="33"/>
        <v/>
      </c>
      <c r="AU632" s="43"/>
      <c r="AV632" s="43"/>
      <c r="AW632" s="43"/>
      <c r="AX632" s="43"/>
      <c r="AY632" s="43"/>
      <c r="AZ632" s="43"/>
      <c r="BN632" s="1312">
        <f>IF(J755="SRO/Studio",O755,0)</f>
        <v>0</v>
      </c>
      <c r="BO632" s="1313"/>
      <c r="BP632" s="1313"/>
      <c r="BQ632" s="1313"/>
      <c r="BR632" s="1314"/>
      <c r="BS632" s="1312">
        <f>IF(J755="1 Bedroom",O755,0)</f>
        <v>0</v>
      </c>
      <c r="BT632" s="1313"/>
      <c r="BU632" s="1313"/>
      <c r="BV632" s="1313"/>
      <c r="BW632" s="1314"/>
      <c r="BX632" s="1312">
        <f>IF(J755="2 Bedrooms",O755,0)</f>
        <v>0</v>
      </c>
      <c r="BY632" s="1313"/>
      <c r="BZ632" s="1313"/>
      <c r="CA632" s="1313"/>
      <c r="CB632" s="1314"/>
      <c r="CC632" s="1312">
        <f>IF(J755="3 Bedrooms",O755,0)</f>
        <v>0</v>
      </c>
      <c r="CD632" s="1313"/>
      <c r="CE632" s="1313"/>
      <c r="CF632" s="1313"/>
      <c r="CG632" s="1314"/>
      <c r="CH632" s="1312">
        <f>IF(J755="4 Bedrooms",O755,0)</f>
        <v>0</v>
      </c>
      <c r="CI632" s="1313"/>
      <c r="CJ632" s="1313"/>
      <c r="CK632" s="1313"/>
      <c r="CL632" s="1314"/>
      <c r="CM632" s="1321">
        <f>IF(J755="5 Bedrooms",O755,0)</f>
        <v>0</v>
      </c>
      <c r="CN632" s="1322"/>
      <c r="CO632" s="1322"/>
      <c r="CP632" s="1322"/>
      <c r="CQ632" s="1323"/>
      <c r="CR632" s="41"/>
      <c r="CS632" s="41"/>
    </row>
    <row r="633" spans="1:126" ht="12.9" customHeight="1">
      <c r="B633" s="1061" t="s">
        <v>358</v>
      </c>
      <c r="C633" s="1062"/>
      <c r="D633" s="1062"/>
      <c r="E633" s="1062"/>
      <c r="F633" s="1062"/>
      <c r="G633" s="1062"/>
      <c r="H633" s="1062"/>
      <c r="I633" s="1062"/>
      <c r="J633" s="1062"/>
      <c r="K633" s="1062"/>
      <c r="L633" s="1062"/>
      <c r="M633" s="1062"/>
      <c r="N633" s="1062"/>
      <c r="O633" s="1062"/>
      <c r="P633" s="1062"/>
      <c r="Q633" s="1062"/>
      <c r="R633" s="1062"/>
      <c r="S633" s="1062"/>
      <c r="T633" s="1062"/>
      <c r="U633" s="1062"/>
      <c r="V633" s="1062"/>
      <c r="W633" s="1062"/>
      <c r="X633" s="1062"/>
      <c r="Y633" s="1062"/>
      <c r="Z633" s="1062"/>
      <c r="AA633" s="1062"/>
      <c r="AB633" s="1062"/>
      <c r="AC633" s="1062"/>
      <c r="AD633" s="1062"/>
      <c r="AE633" s="1062"/>
      <c r="AF633" s="1062"/>
      <c r="AG633" s="1062"/>
      <c r="AH633" s="1062"/>
      <c r="AI633" s="1062"/>
      <c r="AJ633" s="1062"/>
      <c r="AK633" s="1062"/>
      <c r="AL633" s="1062"/>
      <c r="AM633" s="1062"/>
      <c r="AN633" s="1063"/>
      <c r="AO633" s="1077">
        <f>SUM(AO621:AS632)</f>
        <v>17146248</v>
      </c>
      <c r="AP633" s="1078"/>
      <c r="AQ633" s="1078"/>
      <c r="AR633" s="1078"/>
      <c r="AS633" s="1079"/>
      <c r="AT633" s="43"/>
      <c r="AU633" s="43"/>
      <c r="AV633" s="43"/>
      <c r="AW633" s="43"/>
      <c r="AX633" s="43"/>
      <c r="AY633" s="43"/>
      <c r="AZ633" s="43"/>
      <c r="BN633" s="1315">
        <f>SUM(BN629:BR632)</f>
        <v>0</v>
      </c>
      <c r="BO633" s="1316"/>
      <c r="BP633" s="1316"/>
      <c r="BQ633" s="1316"/>
      <c r="BR633" s="1317"/>
      <c r="BS633" s="1315">
        <f>SUM(BS629:BW632)</f>
        <v>0</v>
      </c>
      <c r="BT633" s="1316"/>
      <c r="BU633" s="1316"/>
      <c r="BV633" s="1316"/>
      <c r="BW633" s="1317"/>
      <c r="BX633" s="1315">
        <f>SUM(BX629:CB632)</f>
        <v>1</v>
      </c>
      <c r="BY633" s="1316"/>
      <c r="BZ633" s="1316"/>
      <c r="CA633" s="1316"/>
      <c r="CB633" s="1317"/>
      <c r="CC633" s="1315">
        <f>SUM(CC629:CG632)</f>
        <v>0</v>
      </c>
      <c r="CD633" s="1316"/>
      <c r="CE633" s="1316"/>
      <c r="CF633" s="1316"/>
      <c r="CG633" s="1317"/>
      <c r="CH633" s="1315">
        <f>SUM(CH629:CL632)</f>
        <v>0</v>
      </c>
      <c r="CI633" s="1316"/>
      <c r="CJ633" s="1316"/>
      <c r="CK633" s="1316"/>
      <c r="CL633" s="1317"/>
      <c r="CM633" s="1315">
        <f>SUM(CM629:CQ632)</f>
        <v>0</v>
      </c>
      <c r="CN633" s="1316"/>
      <c r="CO633" s="1316"/>
      <c r="CP633" s="1316"/>
      <c r="CQ633" s="1317"/>
      <c r="CS633" s="467">
        <f>BN633+BS633+BX633+CC633+CH633+CM633</f>
        <v>1</v>
      </c>
      <c r="CT633" s="63" t="s">
        <v>1981</v>
      </c>
      <c r="CU633" s="41"/>
    </row>
    <row r="634" spans="1:126" ht="12.9" customHeight="1">
      <c r="B634" s="1061" t="s">
        <v>359</v>
      </c>
      <c r="C634" s="1062"/>
      <c r="D634" s="1062"/>
      <c r="E634" s="1062"/>
      <c r="F634" s="1062"/>
      <c r="G634" s="1062"/>
      <c r="H634" s="1062"/>
      <c r="I634" s="1062"/>
      <c r="J634" s="1062"/>
      <c r="K634" s="1062"/>
      <c r="L634" s="1062"/>
      <c r="M634" s="1062"/>
      <c r="N634" s="1062"/>
      <c r="O634" s="1062"/>
      <c r="P634" s="1062"/>
      <c r="Q634" s="1062"/>
      <c r="R634" s="1062"/>
      <c r="S634" s="1062"/>
      <c r="T634" s="1062"/>
      <c r="U634" s="1062"/>
      <c r="V634" s="1062"/>
      <c r="W634" s="1062"/>
      <c r="X634" s="1062"/>
      <c r="Y634" s="1062"/>
      <c r="Z634" s="1062"/>
      <c r="AA634" s="1062"/>
      <c r="AB634" s="1062"/>
      <c r="AC634" s="1062"/>
      <c r="AD634" s="1062"/>
      <c r="AE634" s="1062"/>
      <c r="AF634" s="1062"/>
      <c r="AG634" s="1062"/>
      <c r="AH634" s="1062"/>
      <c r="AI634" s="1062"/>
      <c r="AJ634" s="1062"/>
      <c r="AK634" s="1062"/>
      <c r="AL634" s="1062"/>
      <c r="AM634" s="1062"/>
      <c r="AN634" s="1063"/>
      <c r="AO634" s="1270">
        <v>14819019</v>
      </c>
      <c r="AP634" s="1271"/>
      <c r="AQ634" s="1271"/>
      <c r="AR634" s="1271"/>
      <c r="AS634" s="127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66" t="s">
        <v>940</v>
      </c>
      <c r="C635" s="1467"/>
      <c r="D635" s="1467"/>
      <c r="E635" s="1467"/>
      <c r="F635" s="1467"/>
      <c r="G635" s="1467"/>
      <c r="H635" s="1467"/>
      <c r="I635" s="1467"/>
      <c r="J635" s="1467"/>
      <c r="K635" s="1467"/>
      <c r="L635" s="1467"/>
      <c r="M635" s="1467"/>
      <c r="N635" s="1467"/>
      <c r="O635" s="1467"/>
      <c r="P635" s="1467"/>
      <c r="Q635" s="1467"/>
      <c r="R635" s="1467"/>
      <c r="S635" s="1467"/>
      <c r="T635" s="1467"/>
      <c r="U635" s="1467"/>
      <c r="V635" s="1467"/>
      <c r="W635" s="1467"/>
      <c r="X635" s="1467"/>
      <c r="Y635" s="1467"/>
      <c r="Z635" s="1467"/>
      <c r="AA635" s="1467"/>
      <c r="AB635" s="1467"/>
      <c r="AC635" s="1467"/>
      <c r="AD635" s="1467"/>
      <c r="AE635" s="1467"/>
      <c r="AF635" s="1467"/>
      <c r="AG635" s="1467"/>
      <c r="AH635" s="1467"/>
      <c r="AI635" s="1467"/>
      <c r="AJ635" s="1467"/>
      <c r="AK635" s="1467"/>
      <c r="AL635" s="1467"/>
      <c r="AM635" s="1467"/>
      <c r="AN635" s="1468"/>
      <c r="AO635" s="1077">
        <f>AO633+AO634</f>
        <v>31965267</v>
      </c>
      <c r="AP635" s="1078"/>
      <c r="AQ635" s="1078"/>
      <c r="AR635" s="1078"/>
      <c r="AS635" s="1079"/>
      <c r="AT635" s="43"/>
      <c r="AU635" s="43"/>
      <c r="AV635" s="43"/>
      <c r="AW635" s="43"/>
      <c r="AX635" s="43"/>
      <c r="AY635" s="43"/>
      <c r="AZ635" s="43"/>
      <c r="BN635" s="1312">
        <f t="shared" ref="BN635:BN644" si="39">IF(J766="SRO/Studio",O766,0)</f>
        <v>0</v>
      </c>
      <c r="BO635" s="1313"/>
      <c r="BP635" s="1313"/>
      <c r="BQ635" s="1313"/>
      <c r="BR635" s="1314"/>
      <c r="BS635" s="1312">
        <f t="shared" ref="BS635:BS644" si="40">IF(J766="1 Bedroom",O766,0)</f>
        <v>0</v>
      </c>
      <c r="BT635" s="1313"/>
      <c r="BU635" s="1313"/>
      <c r="BV635" s="1313"/>
      <c r="BW635" s="1314"/>
      <c r="BX635" s="1312">
        <f t="shared" ref="BX635:BX644" si="41">IF(J766="2 Bedrooms",O766,0)</f>
        <v>0</v>
      </c>
      <c r="BY635" s="1313"/>
      <c r="BZ635" s="1313"/>
      <c r="CA635" s="1313"/>
      <c r="CB635" s="1314"/>
      <c r="CC635" s="1312">
        <f t="shared" ref="CC635:CC644" si="42">IF(J766="3 Bedrooms",O766,0)</f>
        <v>0</v>
      </c>
      <c r="CD635" s="1313"/>
      <c r="CE635" s="1313"/>
      <c r="CF635" s="1313"/>
      <c r="CG635" s="1314"/>
      <c r="CH635" s="1312">
        <f t="shared" ref="CH635:CH644" si="43">IF(J766="4 Bedrooms",O766,0)</f>
        <v>0</v>
      </c>
      <c r="CI635" s="1313"/>
      <c r="CJ635" s="1313"/>
      <c r="CK635" s="1313"/>
      <c r="CL635" s="1314"/>
      <c r="CM635" s="1312">
        <f t="shared" ref="CM635:CM644" si="44">IF(J766="5 Bedrooms",O766,0)</f>
        <v>0</v>
      </c>
      <c r="CN635" s="1313"/>
      <c r="CO635" s="1313"/>
      <c r="CP635" s="1313"/>
      <c r="CQ635" s="1314"/>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312">
        <f t="shared" si="39"/>
        <v>0</v>
      </c>
      <c r="BO636" s="1313"/>
      <c r="BP636" s="1313"/>
      <c r="BQ636" s="1313"/>
      <c r="BR636" s="1314"/>
      <c r="BS636" s="1312">
        <f t="shared" si="40"/>
        <v>0</v>
      </c>
      <c r="BT636" s="1313"/>
      <c r="BU636" s="1313"/>
      <c r="BV636" s="1313"/>
      <c r="BW636" s="1314"/>
      <c r="BX636" s="1312">
        <f t="shared" si="41"/>
        <v>0</v>
      </c>
      <c r="BY636" s="1313"/>
      <c r="BZ636" s="1313"/>
      <c r="CA636" s="1313"/>
      <c r="CB636" s="1314"/>
      <c r="CC636" s="1312">
        <f t="shared" si="42"/>
        <v>0</v>
      </c>
      <c r="CD636" s="1313"/>
      <c r="CE636" s="1313"/>
      <c r="CF636" s="1313"/>
      <c r="CG636" s="1314"/>
      <c r="CH636" s="1312">
        <f t="shared" si="43"/>
        <v>0</v>
      </c>
      <c r="CI636" s="1313"/>
      <c r="CJ636" s="1313"/>
      <c r="CK636" s="1313"/>
      <c r="CL636" s="1314"/>
      <c r="CM636" s="1312">
        <f t="shared" si="44"/>
        <v>0</v>
      </c>
      <c r="CN636" s="1313"/>
      <c r="CO636" s="1313"/>
      <c r="CP636" s="1313"/>
      <c r="CQ636" s="1314"/>
      <c r="CR636" s="41"/>
      <c r="CS636" s="41"/>
    </row>
    <row r="637" spans="1:126" ht="12.9" customHeight="1">
      <c r="A637" s="61" t="s">
        <v>900</v>
      </c>
      <c r="B637" t="s">
        <v>82</v>
      </c>
      <c r="G637" s="1131" t="str">
        <f>C621</f>
        <v>Citi Bank Perm Loan</v>
      </c>
      <c r="H637" s="1131"/>
      <c r="I637" s="1131"/>
      <c r="J637" s="1131"/>
      <c r="K637" s="1131"/>
      <c r="L637" s="1131"/>
      <c r="M637" s="1131"/>
      <c r="N637" s="1131"/>
      <c r="O637" s="1131"/>
      <c r="P637" s="1131"/>
      <c r="Q637" s="1131"/>
      <c r="R637" s="1131"/>
      <c r="S637" s="12"/>
      <c r="T637" s="61" t="s">
        <v>901</v>
      </c>
      <c r="U637" t="s">
        <v>82</v>
      </c>
      <c r="Z637" s="1131" t="str">
        <f>C622</f>
        <v>HCD CDBG DR</v>
      </c>
      <c r="AA637" s="1131"/>
      <c r="AB637" s="1131"/>
      <c r="AC637" s="1131"/>
      <c r="AD637" s="1131"/>
      <c r="AE637" s="1131"/>
      <c r="AF637" s="1131"/>
      <c r="AG637" s="1131"/>
      <c r="AH637" s="1131"/>
      <c r="AI637" s="1131"/>
      <c r="AJ637" s="1131"/>
      <c r="AK637" s="1131"/>
      <c r="AM637" s="43"/>
      <c r="AN637" s="43"/>
      <c r="AO637" s="43"/>
      <c r="AP637" s="43"/>
      <c r="AQ637" s="43"/>
      <c r="AR637" s="43"/>
      <c r="AS637" s="43"/>
      <c r="AT637" s="43"/>
      <c r="AU637" s="43"/>
      <c r="AV637" s="43"/>
      <c r="AW637" s="43"/>
      <c r="AX637" s="43"/>
      <c r="AY637" s="43"/>
      <c r="AZ637" s="43"/>
      <c r="BN637" s="1312">
        <f t="shared" si="39"/>
        <v>0</v>
      </c>
      <c r="BO637" s="1313"/>
      <c r="BP637" s="1313"/>
      <c r="BQ637" s="1313"/>
      <c r="BR637" s="1314"/>
      <c r="BS637" s="1312">
        <f t="shared" si="40"/>
        <v>0</v>
      </c>
      <c r="BT637" s="1313"/>
      <c r="BU637" s="1313"/>
      <c r="BV637" s="1313"/>
      <c r="BW637" s="1314"/>
      <c r="BX637" s="1312">
        <f t="shared" si="41"/>
        <v>0</v>
      </c>
      <c r="BY637" s="1313"/>
      <c r="BZ637" s="1313"/>
      <c r="CA637" s="1313"/>
      <c r="CB637" s="1314"/>
      <c r="CC637" s="1312">
        <f t="shared" si="42"/>
        <v>0</v>
      </c>
      <c r="CD637" s="1313"/>
      <c r="CE637" s="1313"/>
      <c r="CF637" s="1313"/>
      <c r="CG637" s="1314"/>
      <c r="CH637" s="1312">
        <f t="shared" si="43"/>
        <v>0</v>
      </c>
      <c r="CI637" s="1313"/>
      <c r="CJ637" s="1313"/>
      <c r="CK637" s="1313"/>
      <c r="CL637" s="1314"/>
      <c r="CM637" s="1312">
        <f t="shared" si="44"/>
        <v>0</v>
      </c>
      <c r="CN637" s="1313"/>
      <c r="CO637" s="1313"/>
      <c r="CP637" s="1313"/>
      <c r="CQ637" s="1314"/>
      <c r="CR637" s="41"/>
      <c r="CS637" s="41"/>
    </row>
    <row r="638" spans="1:126" ht="12.9" customHeight="1">
      <c r="A638" s="4"/>
      <c r="B638" t="s">
        <v>372</v>
      </c>
      <c r="G638" s="1080" t="s">
        <v>2406</v>
      </c>
      <c r="H638" s="1080"/>
      <c r="I638" s="1080"/>
      <c r="J638" s="1080"/>
      <c r="K638" s="1080"/>
      <c r="L638" s="1080"/>
      <c r="M638" s="1080"/>
      <c r="N638" s="1080"/>
      <c r="O638" s="1080"/>
      <c r="P638" s="1080"/>
      <c r="Q638" s="1080"/>
      <c r="R638" s="1080"/>
      <c r="S638" s="12"/>
      <c r="T638" s="4"/>
      <c r="U638" t="s">
        <v>372</v>
      </c>
      <c r="Z638" s="1080" t="s">
        <v>2411</v>
      </c>
      <c r="AA638" s="1080"/>
      <c r="AB638" s="1080"/>
      <c r="AC638" s="1080"/>
      <c r="AD638" s="1080"/>
      <c r="AE638" s="1080"/>
      <c r="AF638" s="1080"/>
      <c r="AG638" s="1080"/>
      <c r="AH638" s="1080"/>
      <c r="AI638" s="1080"/>
      <c r="AJ638" s="1080"/>
      <c r="AK638" s="1080"/>
      <c r="AM638" s="43"/>
      <c r="AN638" s="43"/>
      <c r="AO638" s="43"/>
      <c r="AP638" s="43"/>
      <c r="AQ638" s="43"/>
      <c r="AR638" s="43"/>
      <c r="AS638" s="43"/>
      <c r="AT638" s="43"/>
      <c r="AU638" s="43"/>
      <c r="AV638" s="43"/>
      <c r="AW638" s="43"/>
      <c r="AX638" s="43"/>
      <c r="AY638" s="43"/>
      <c r="AZ638" s="43"/>
      <c r="BN638" s="1312">
        <f t="shared" si="39"/>
        <v>0</v>
      </c>
      <c r="BO638" s="1313"/>
      <c r="BP638" s="1313"/>
      <c r="BQ638" s="1313"/>
      <c r="BR638" s="1314"/>
      <c r="BS638" s="1312">
        <f t="shared" si="40"/>
        <v>0</v>
      </c>
      <c r="BT638" s="1313"/>
      <c r="BU638" s="1313"/>
      <c r="BV638" s="1313"/>
      <c r="BW638" s="1314"/>
      <c r="BX638" s="1312">
        <f t="shared" si="41"/>
        <v>0</v>
      </c>
      <c r="BY638" s="1313"/>
      <c r="BZ638" s="1313"/>
      <c r="CA638" s="1313"/>
      <c r="CB638" s="1314"/>
      <c r="CC638" s="1312">
        <f t="shared" si="42"/>
        <v>0</v>
      </c>
      <c r="CD638" s="1313"/>
      <c r="CE638" s="1313"/>
      <c r="CF638" s="1313"/>
      <c r="CG638" s="1314"/>
      <c r="CH638" s="1312">
        <f t="shared" si="43"/>
        <v>0</v>
      </c>
      <c r="CI638" s="1313"/>
      <c r="CJ638" s="1313"/>
      <c r="CK638" s="1313"/>
      <c r="CL638" s="1314"/>
      <c r="CM638" s="1312">
        <f t="shared" si="44"/>
        <v>0</v>
      </c>
      <c r="CN638" s="1313"/>
      <c r="CO638" s="1313"/>
      <c r="CP638" s="1313"/>
      <c r="CQ638" s="1314"/>
      <c r="CR638" s="41"/>
      <c r="CS638" s="41"/>
    </row>
    <row r="639" spans="1:126" ht="12.9" customHeight="1">
      <c r="A639" s="4"/>
      <c r="B639" t="s">
        <v>430</v>
      </c>
      <c r="G639" s="1080" t="s">
        <v>2407</v>
      </c>
      <c r="H639" s="1080"/>
      <c r="I639" s="1080"/>
      <c r="J639" s="1080"/>
      <c r="K639" s="1080"/>
      <c r="L639" s="1080"/>
      <c r="M639" s="1080"/>
      <c r="N639" s="1080"/>
      <c r="O639" s="1080"/>
      <c r="P639" s="1080"/>
      <c r="Q639" s="1080"/>
      <c r="R639" s="1080"/>
      <c r="T639" s="4"/>
      <c r="U639" t="s">
        <v>430</v>
      </c>
      <c r="Z639" s="1130" t="s">
        <v>2412</v>
      </c>
      <c r="AA639" s="1130"/>
      <c r="AB639" s="1130"/>
      <c r="AC639" s="1130"/>
      <c r="AD639" s="1130"/>
      <c r="AE639" s="1130"/>
      <c r="AF639" s="1130"/>
      <c r="AG639" s="1130"/>
      <c r="AH639" s="1130"/>
      <c r="AI639" s="1130"/>
      <c r="AJ639" s="1130"/>
      <c r="AK639" s="1130"/>
      <c r="AM639" s="43"/>
      <c r="AN639" s="43"/>
      <c r="AO639" s="43"/>
      <c r="AP639" s="43"/>
      <c r="AQ639" s="43"/>
      <c r="AR639" s="43"/>
      <c r="AS639" s="43"/>
      <c r="AT639" s="43"/>
      <c r="AU639" s="43"/>
      <c r="AV639" s="43"/>
      <c r="AW639" s="43"/>
      <c r="AX639" s="43"/>
      <c r="AY639" s="43"/>
      <c r="AZ639" s="43"/>
      <c r="BN639" s="1312">
        <f t="shared" si="39"/>
        <v>0</v>
      </c>
      <c r="BO639" s="1313"/>
      <c r="BP639" s="1313"/>
      <c r="BQ639" s="1313"/>
      <c r="BR639" s="1314"/>
      <c r="BS639" s="1312">
        <f t="shared" si="40"/>
        <v>0</v>
      </c>
      <c r="BT639" s="1313"/>
      <c r="BU639" s="1313"/>
      <c r="BV639" s="1313"/>
      <c r="BW639" s="1314"/>
      <c r="BX639" s="1312">
        <f t="shared" si="41"/>
        <v>0</v>
      </c>
      <c r="BY639" s="1313"/>
      <c r="BZ639" s="1313"/>
      <c r="CA639" s="1313"/>
      <c r="CB639" s="1314"/>
      <c r="CC639" s="1312">
        <f t="shared" si="42"/>
        <v>0</v>
      </c>
      <c r="CD639" s="1313"/>
      <c r="CE639" s="1313"/>
      <c r="CF639" s="1313"/>
      <c r="CG639" s="1314"/>
      <c r="CH639" s="1312">
        <f t="shared" si="43"/>
        <v>0</v>
      </c>
      <c r="CI639" s="1313"/>
      <c r="CJ639" s="1313"/>
      <c r="CK639" s="1313"/>
      <c r="CL639" s="1314"/>
      <c r="CM639" s="1312">
        <f t="shared" si="44"/>
        <v>0</v>
      </c>
      <c r="CN639" s="1313"/>
      <c r="CO639" s="1313"/>
      <c r="CP639" s="1313"/>
      <c r="CQ639" s="1314"/>
      <c r="CR639" s="41"/>
      <c r="CS639" s="41"/>
    </row>
    <row r="640" spans="1:126" ht="12.9" customHeight="1">
      <c r="A640" s="4"/>
      <c r="B640" t="s">
        <v>833</v>
      </c>
      <c r="G640" s="1080" t="s">
        <v>2408</v>
      </c>
      <c r="H640" s="1080"/>
      <c r="I640" s="1080"/>
      <c r="J640" s="1080"/>
      <c r="K640" s="1080"/>
      <c r="L640" s="1080"/>
      <c r="M640" s="1080"/>
      <c r="N640" s="1080"/>
      <c r="O640" s="1080"/>
      <c r="P640" s="1080"/>
      <c r="Q640" s="1080"/>
      <c r="R640" s="1080"/>
      <c r="S640" s="12"/>
      <c r="T640" s="4"/>
      <c r="U640" t="s">
        <v>833</v>
      </c>
      <c r="Z640" s="1130"/>
      <c r="AA640" s="1130"/>
      <c r="AB640" s="1130"/>
      <c r="AC640" s="1130"/>
      <c r="AD640" s="1130"/>
      <c r="AE640" s="1130"/>
      <c r="AF640" s="1130"/>
      <c r="AG640" s="1130"/>
      <c r="AH640" s="1130"/>
      <c r="AI640" s="1130"/>
      <c r="AJ640" s="1130"/>
      <c r="AK640" s="1130"/>
      <c r="AM640" s="43"/>
      <c r="AN640" s="43"/>
      <c r="AO640" s="43"/>
      <c r="AP640" s="43"/>
      <c r="AQ640" s="43"/>
      <c r="AR640" s="43"/>
      <c r="AS640" s="43"/>
      <c r="AT640" s="43"/>
      <c r="AU640" s="43"/>
      <c r="AV640" s="43"/>
      <c r="AW640" s="43"/>
      <c r="AX640" s="43"/>
      <c r="AY640" s="43"/>
      <c r="AZ640" s="43"/>
      <c r="BN640" s="1312">
        <f t="shared" si="39"/>
        <v>0</v>
      </c>
      <c r="BO640" s="1313"/>
      <c r="BP640" s="1313"/>
      <c r="BQ640" s="1313"/>
      <c r="BR640" s="1314"/>
      <c r="BS640" s="1312">
        <f t="shared" si="40"/>
        <v>0</v>
      </c>
      <c r="BT640" s="1313"/>
      <c r="BU640" s="1313"/>
      <c r="BV640" s="1313"/>
      <c r="BW640" s="1314"/>
      <c r="BX640" s="1312">
        <f t="shared" si="41"/>
        <v>0</v>
      </c>
      <c r="BY640" s="1313"/>
      <c r="BZ640" s="1313"/>
      <c r="CA640" s="1313"/>
      <c r="CB640" s="1314"/>
      <c r="CC640" s="1312">
        <f t="shared" si="42"/>
        <v>0</v>
      </c>
      <c r="CD640" s="1313"/>
      <c r="CE640" s="1313"/>
      <c r="CF640" s="1313"/>
      <c r="CG640" s="1314"/>
      <c r="CH640" s="1312">
        <f t="shared" si="43"/>
        <v>0</v>
      </c>
      <c r="CI640" s="1313"/>
      <c r="CJ640" s="1313"/>
      <c r="CK640" s="1313"/>
      <c r="CL640" s="1314"/>
      <c r="CM640" s="1312">
        <f t="shared" si="44"/>
        <v>0</v>
      </c>
      <c r="CN640" s="1313"/>
      <c r="CO640" s="1313"/>
      <c r="CP640" s="1313"/>
      <c r="CQ640" s="1314"/>
      <c r="CR640" s="41"/>
      <c r="CS640" s="41"/>
    </row>
    <row r="641" spans="1:97" ht="12.9" customHeight="1">
      <c r="A641" s="4"/>
      <c r="B641" t="s">
        <v>650</v>
      </c>
      <c r="G641" s="1090" t="s">
        <v>2409</v>
      </c>
      <c r="H641" s="1090"/>
      <c r="I641" s="1090"/>
      <c r="J641" s="1090"/>
      <c r="K641" s="1090"/>
      <c r="L641" s="1090"/>
      <c r="O641" s="42" t="s">
        <v>818</v>
      </c>
      <c r="P641" s="1310"/>
      <c r="Q641" s="1310"/>
      <c r="R641" s="1310"/>
      <c r="S641" s="14"/>
      <c r="T641" s="4"/>
      <c r="U641" t="s">
        <v>650</v>
      </c>
      <c r="Z641" s="1090" t="s">
        <v>2413</v>
      </c>
      <c r="AA641" s="1090"/>
      <c r="AB641" s="1090"/>
      <c r="AC641" s="1090"/>
      <c r="AD641" s="1090"/>
      <c r="AE641" s="1090"/>
      <c r="AH641" s="42" t="s">
        <v>818</v>
      </c>
      <c r="AI641" s="1310"/>
      <c r="AJ641" s="1310"/>
      <c r="AK641" s="1310"/>
      <c r="AM641" s="43"/>
      <c r="AN641" s="43"/>
      <c r="AO641" s="43"/>
      <c r="AP641" s="43"/>
      <c r="AQ641" s="43"/>
      <c r="AR641" s="43"/>
      <c r="AS641" s="43"/>
      <c r="AT641" s="43"/>
      <c r="AU641" s="43"/>
      <c r="AV641" s="43"/>
      <c r="AW641" s="43"/>
      <c r="AX641" s="43"/>
      <c r="AY641" s="43"/>
      <c r="AZ641" s="43"/>
      <c r="BN641" s="1312">
        <f t="shared" si="39"/>
        <v>0</v>
      </c>
      <c r="BO641" s="1313"/>
      <c r="BP641" s="1313"/>
      <c r="BQ641" s="1313"/>
      <c r="BR641" s="1314"/>
      <c r="BS641" s="1312">
        <f t="shared" si="40"/>
        <v>0</v>
      </c>
      <c r="BT641" s="1313"/>
      <c r="BU641" s="1313"/>
      <c r="BV641" s="1313"/>
      <c r="BW641" s="1314"/>
      <c r="BX641" s="1312">
        <f t="shared" si="41"/>
        <v>0</v>
      </c>
      <c r="BY641" s="1313"/>
      <c r="BZ641" s="1313"/>
      <c r="CA641" s="1313"/>
      <c r="CB641" s="1314"/>
      <c r="CC641" s="1312">
        <f t="shared" si="42"/>
        <v>0</v>
      </c>
      <c r="CD641" s="1313"/>
      <c r="CE641" s="1313"/>
      <c r="CF641" s="1313"/>
      <c r="CG641" s="1314"/>
      <c r="CH641" s="1312">
        <f t="shared" si="43"/>
        <v>0</v>
      </c>
      <c r="CI641" s="1313"/>
      <c r="CJ641" s="1313"/>
      <c r="CK641" s="1313"/>
      <c r="CL641" s="1314"/>
      <c r="CM641" s="1312">
        <f t="shared" si="44"/>
        <v>0</v>
      </c>
      <c r="CN641" s="1313"/>
      <c r="CO641" s="1313"/>
      <c r="CP641" s="1313"/>
      <c r="CQ641" s="1314"/>
      <c r="CR641" s="41"/>
      <c r="CS641" s="41"/>
    </row>
    <row r="642" spans="1:97" ht="12.9" customHeight="1">
      <c r="A642" s="4"/>
      <c r="B642" t="s">
        <v>834</v>
      </c>
      <c r="H642" s="1080" t="s">
        <v>2417</v>
      </c>
      <c r="I642" s="1080"/>
      <c r="J642" s="1080"/>
      <c r="K642" s="1080"/>
      <c r="L642" s="1080"/>
      <c r="M642" s="1080"/>
      <c r="N642" s="1080"/>
      <c r="O642" s="1080"/>
      <c r="P642" s="1080"/>
      <c r="Q642" s="1080"/>
      <c r="R642" s="1080"/>
      <c r="S642" s="12"/>
      <c r="T642" s="4"/>
      <c r="U642" t="s">
        <v>834</v>
      </c>
      <c r="AA642" s="1080" t="s">
        <v>2414</v>
      </c>
      <c r="AB642" s="1080"/>
      <c r="AC642" s="1080"/>
      <c r="AD642" s="1080"/>
      <c r="AE642" s="1080"/>
      <c r="AF642" s="1080"/>
      <c r="AG642" s="1080"/>
      <c r="AH642" s="1080"/>
      <c r="AI642" s="1080"/>
      <c r="AJ642" s="1080"/>
      <c r="AK642" s="1080"/>
      <c r="AM642" s="43"/>
      <c r="AN642" s="43"/>
      <c r="AO642" s="43"/>
      <c r="AP642" s="43"/>
      <c r="AQ642" s="43"/>
      <c r="AR642" s="43"/>
      <c r="AS642" s="43"/>
      <c r="AT642" s="43"/>
      <c r="AU642" s="43"/>
      <c r="AV642" s="43"/>
      <c r="AW642" s="43"/>
      <c r="AX642" s="43"/>
      <c r="AY642" s="43"/>
      <c r="AZ642" s="43"/>
      <c r="BN642" s="1312">
        <f t="shared" si="39"/>
        <v>0</v>
      </c>
      <c r="BO642" s="1313"/>
      <c r="BP642" s="1313"/>
      <c r="BQ642" s="1313"/>
      <c r="BR642" s="1314"/>
      <c r="BS642" s="1312">
        <f t="shared" si="40"/>
        <v>0</v>
      </c>
      <c r="BT642" s="1313"/>
      <c r="BU642" s="1313"/>
      <c r="BV642" s="1313"/>
      <c r="BW642" s="1314"/>
      <c r="BX642" s="1312">
        <f t="shared" si="41"/>
        <v>0</v>
      </c>
      <c r="BY642" s="1313"/>
      <c r="BZ642" s="1313"/>
      <c r="CA642" s="1313"/>
      <c r="CB642" s="1314"/>
      <c r="CC642" s="1312">
        <f t="shared" si="42"/>
        <v>0</v>
      </c>
      <c r="CD642" s="1313"/>
      <c r="CE642" s="1313"/>
      <c r="CF642" s="1313"/>
      <c r="CG642" s="1314"/>
      <c r="CH642" s="1312">
        <f t="shared" si="43"/>
        <v>0</v>
      </c>
      <c r="CI642" s="1313"/>
      <c r="CJ642" s="1313"/>
      <c r="CK642" s="1313"/>
      <c r="CL642" s="1314"/>
      <c r="CM642" s="1312">
        <f t="shared" si="44"/>
        <v>0</v>
      </c>
      <c r="CN642" s="1313"/>
      <c r="CO642" s="1313"/>
      <c r="CP642" s="1313"/>
      <c r="CQ642" s="1314"/>
      <c r="CR642" s="41"/>
      <c r="CS642" s="41"/>
    </row>
    <row r="643" spans="1:97" ht="12.9" customHeight="1">
      <c r="A643" s="5"/>
      <c r="B643" t="s">
        <v>836</v>
      </c>
      <c r="N643" s="1175" t="s">
        <v>108</v>
      </c>
      <c r="O643" s="1175"/>
      <c r="T643" s="4"/>
      <c r="U643" t="s">
        <v>836</v>
      </c>
      <c r="AG643" s="1175" t="s">
        <v>108</v>
      </c>
      <c r="AH643" s="1175"/>
      <c r="AM643" s="43"/>
      <c r="AN643" s="43"/>
      <c r="AO643" s="43"/>
      <c r="AP643" s="43"/>
      <c r="AQ643" s="43"/>
      <c r="AR643" s="43"/>
      <c r="AS643" s="43"/>
      <c r="AT643" s="43"/>
      <c r="AU643" s="43"/>
      <c r="AV643" s="43"/>
      <c r="AW643" s="43"/>
      <c r="AX643" s="43"/>
      <c r="AY643" s="43"/>
      <c r="AZ643" s="43"/>
      <c r="BA643" s="43"/>
      <c r="BB643" s="41"/>
      <c r="BC643" s="41"/>
      <c r="BD643" s="41"/>
      <c r="BN643" s="1312">
        <f t="shared" si="39"/>
        <v>0</v>
      </c>
      <c r="BO643" s="1313"/>
      <c r="BP643" s="1313"/>
      <c r="BQ643" s="1313"/>
      <c r="BR643" s="1314"/>
      <c r="BS643" s="1312">
        <f t="shared" si="40"/>
        <v>0</v>
      </c>
      <c r="BT643" s="1313"/>
      <c r="BU643" s="1313"/>
      <c r="BV643" s="1313"/>
      <c r="BW643" s="1314"/>
      <c r="BX643" s="1312">
        <f t="shared" si="41"/>
        <v>0</v>
      </c>
      <c r="BY643" s="1313"/>
      <c r="BZ643" s="1313"/>
      <c r="CA643" s="1313"/>
      <c r="CB643" s="1314"/>
      <c r="CC643" s="1312">
        <f t="shared" si="42"/>
        <v>0</v>
      </c>
      <c r="CD643" s="1313"/>
      <c r="CE643" s="1313"/>
      <c r="CF643" s="1313"/>
      <c r="CG643" s="1314"/>
      <c r="CH643" s="1312">
        <f t="shared" si="43"/>
        <v>0</v>
      </c>
      <c r="CI643" s="1313"/>
      <c r="CJ643" s="1313"/>
      <c r="CK643" s="1313"/>
      <c r="CL643" s="1314"/>
      <c r="CM643" s="1312">
        <f t="shared" si="44"/>
        <v>0</v>
      </c>
      <c r="CN643" s="1313"/>
      <c r="CO643" s="1313"/>
      <c r="CP643" s="1313"/>
      <c r="CQ643" s="1314"/>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312">
        <f t="shared" si="39"/>
        <v>0</v>
      </c>
      <c r="BO644" s="1313"/>
      <c r="BP644" s="1313"/>
      <c r="BQ644" s="1313"/>
      <c r="BR644" s="1314"/>
      <c r="BS644" s="1312">
        <f t="shared" si="40"/>
        <v>0</v>
      </c>
      <c r="BT644" s="1313"/>
      <c r="BU644" s="1313"/>
      <c r="BV644" s="1313"/>
      <c r="BW644" s="1314"/>
      <c r="BX644" s="1312">
        <f t="shared" si="41"/>
        <v>0</v>
      </c>
      <c r="BY644" s="1313"/>
      <c r="BZ644" s="1313"/>
      <c r="CA644" s="1313"/>
      <c r="CB644" s="1314"/>
      <c r="CC644" s="1312">
        <f t="shared" si="42"/>
        <v>0</v>
      </c>
      <c r="CD644" s="1313"/>
      <c r="CE644" s="1313"/>
      <c r="CF644" s="1313"/>
      <c r="CG644" s="1314"/>
      <c r="CH644" s="1312">
        <f t="shared" si="43"/>
        <v>0</v>
      </c>
      <c r="CI644" s="1313"/>
      <c r="CJ644" s="1313"/>
      <c r="CK644" s="1313"/>
      <c r="CL644" s="1314"/>
      <c r="CM644" s="1312">
        <f t="shared" si="44"/>
        <v>0</v>
      </c>
      <c r="CN644" s="1313"/>
      <c r="CO644" s="1313"/>
      <c r="CP644" s="1313"/>
      <c r="CQ644" s="1314"/>
      <c r="CR644" s="41"/>
      <c r="CS644" s="41"/>
    </row>
    <row r="645" spans="1:97" ht="12.9" customHeight="1">
      <c r="A645" s="61" t="s">
        <v>907</v>
      </c>
      <c r="B645" t="s">
        <v>82</v>
      </c>
      <c r="G645" s="1131" t="str">
        <f>C623</f>
        <v>HCD IIG</v>
      </c>
      <c r="H645" s="1131"/>
      <c r="I645" s="1131"/>
      <c r="J645" s="1131"/>
      <c r="K645" s="1131"/>
      <c r="L645" s="1131"/>
      <c r="M645" s="1131"/>
      <c r="N645" s="1131"/>
      <c r="O645" s="1131"/>
      <c r="P645" s="1131"/>
      <c r="Q645" s="1131"/>
      <c r="R645" s="1131"/>
      <c r="T645" s="61" t="s">
        <v>431</v>
      </c>
      <c r="U645" t="s">
        <v>82</v>
      </c>
      <c r="Z645" s="1131" t="str">
        <f>C624</f>
        <v>HCD PLHA</v>
      </c>
      <c r="AA645" s="1131"/>
      <c r="AB645" s="1131"/>
      <c r="AC645" s="1131"/>
      <c r="AD645" s="1131"/>
      <c r="AE645" s="1131"/>
      <c r="AF645" s="1131"/>
      <c r="AG645" s="1131"/>
      <c r="AH645" s="1131"/>
      <c r="AI645" s="1131"/>
      <c r="AJ645" s="1131"/>
      <c r="AK645" s="1131"/>
      <c r="AM645" s="43"/>
      <c r="AN645" s="43"/>
      <c r="AO645" s="43"/>
      <c r="AP645" s="43"/>
      <c r="AQ645" s="43"/>
      <c r="AR645" s="43"/>
      <c r="AS645" s="43"/>
      <c r="AT645" s="43"/>
      <c r="AU645" s="43"/>
      <c r="AV645" s="43"/>
      <c r="AW645" s="43"/>
      <c r="AX645" s="43"/>
      <c r="AY645" s="43"/>
      <c r="AZ645" s="43"/>
      <c r="BA645" s="43"/>
      <c r="BB645" s="41"/>
      <c r="BC645" s="41"/>
      <c r="BD645" s="41"/>
      <c r="BN645" s="1315">
        <f>SUM(BN635:BR644)</f>
        <v>0</v>
      </c>
      <c r="BO645" s="1316"/>
      <c r="BP645" s="1316"/>
      <c r="BQ645" s="1316"/>
      <c r="BR645" s="1317"/>
      <c r="BS645" s="1315">
        <f>SUM(BS635:BW644)</f>
        <v>0</v>
      </c>
      <c r="BT645" s="1316"/>
      <c r="BU645" s="1316"/>
      <c r="BV645" s="1316"/>
      <c r="BW645" s="1317"/>
      <c r="BX645" s="1315">
        <f>SUM(BX635:CB644)</f>
        <v>0</v>
      </c>
      <c r="BY645" s="1316"/>
      <c r="BZ645" s="1316"/>
      <c r="CA645" s="1316"/>
      <c r="CB645" s="1317"/>
      <c r="CC645" s="1315">
        <f>SUM(CC635:CG644)</f>
        <v>0</v>
      </c>
      <c r="CD645" s="1316"/>
      <c r="CE645" s="1316"/>
      <c r="CF645" s="1316"/>
      <c r="CG645" s="1317"/>
      <c r="CH645" s="1315">
        <f>SUM(CH635:CL644)</f>
        <v>0</v>
      </c>
      <c r="CI645" s="1316"/>
      <c r="CJ645" s="1316"/>
      <c r="CK645" s="1316"/>
      <c r="CL645" s="1317"/>
      <c r="CM645" s="1315">
        <f>SUM(CM635:CQ644)</f>
        <v>0</v>
      </c>
      <c r="CN645" s="1316"/>
      <c r="CO645" s="1316"/>
      <c r="CP645" s="1316"/>
      <c r="CQ645" s="1317"/>
      <c r="CR645" s="41"/>
      <c r="CS645" s="41"/>
    </row>
    <row r="646" spans="1:97" ht="12.9" customHeight="1" thickBot="1">
      <c r="A646" s="4"/>
      <c r="B646" t="s">
        <v>372</v>
      </c>
      <c r="G646" s="1080" t="s">
        <v>2411</v>
      </c>
      <c r="H646" s="1080"/>
      <c r="I646" s="1080"/>
      <c r="J646" s="1080"/>
      <c r="K646" s="1080"/>
      <c r="L646" s="1080"/>
      <c r="M646" s="1080"/>
      <c r="N646" s="1080"/>
      <c r="O646" s="1080"/>
      <c r="P646" s="1080"/>
      <c r="Q646" s="1080"/>
      <c r="R646" s="1080"/>
      <c r="T646" s="4"/>
      <c r="U646" t="s">
        <v>372</v>
      </c>
      <c r="Z646" s="1080" t="s">
        <v>2411</v>
      </c>
      <c r="AA646" s="1080"/>
      <c r="AB646" s="1080"/>
      <c r="AC646" s="1080"/>
      <c r="AD646" s="1080"/>
      <c r="AE646" s="1080"/>
      <c r="AF646" s="1080"/>
      <c r="AG646" s="1080"/>
      <c r="AH646" s="1080"/>
      <c r="AI646" s="1080"/>
      <c r="AJ646" s="1080"/>
      <c r="AK646" s="1080"/>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130" t="s">
        <v>2412</v>
      </c>
      <c r="H647" s="1130"/>
      <c r="I647" s="1130"/>
      <c r="J647" s="1130"/>
      <c r="K647" s="1130"/>
      <c r="L647" s="1130"/>
      <c r="M647" s="1130"/>
      <c r="N647" s="1130"/>
      <c r="O647" s="1130"/>
      <c r="P647" s="1130"/>
      <c r="Q647" s="1130"/>
      <c r="R647" s="1130"/>
      <c r="T647" s="4"/>
      <c r="U647" t="s">
        <v>430</v>
      </c>
      <c r="Z647" s="1130" t="s">
        <v>2412</v>
      </c>
      <c r="AA647" s="1130"/>
      <c r="AB647" s="1130"/>
      <c r="AC647" s="1130"/>
      <c r="AD647" s="1130"/>
      <c r="AE647" s="1130"/>
      <c r="AF647" s="1130"/>
      <c r="AG647" s="1130"/>
      <c r="AH647" s="1130"/>
      <c r="AI647" s="1130"/>
      <c r="AJ647" s="1130"/>
      <c r="AK647" s="1130"/>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130"/>
      <c r="H648" s="1130"/>
      <c r="I648" s="1130"/>
      <c r="J648" s="1130"/>
      <c r="K648" s="1130"/>
      <c r="L648" s="1130"/>
      <c r="M648" s="1130"/>
      <c r="N648" s="1130"/>
      <c r="O648" s="1130"/>
      <c r="P648" s="1130"/>
      <c r="Q648" s="1130"/>
      <c r="R648" s="1130"/>
      <c r="T648" s="4"/>
      <c r="U648" t="s">
        <v>833</v>
      </c>
      <c r="Z648" s="1130"/>
      <c r="AA648" s="1130"/>
      <c r="AB648" s="1130"/>
      <c r="AC648" s="1130"/>
      <c r="AD648" s="1130"/>
      <c r="AE648" s="1130"/>
      <c r="AF648" s="1130"/>
      <c r="AG648" s="1130"/>
      <c r="AH648" s="1130"/>
      <c r="AI648" s="1130"/>
      <c r="AJ648" s="1130"/>
      <c r="AK648" s="113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90" t="s">
        <v>2413</v>
      </c>
      <c r="H649" s="1090"/>
      <c r="I649" s="1090"/>
      <c r="J649" s="1090"/>
      <c r="K649" s="1090"/>
      <c r="L649" s="1090"/>
      <c r="O649" s="42" t="s">
        <v>818</v>
      </c>
      <c r="P649" s="1310"/>
      <c r="Q649" s="1310"/>
      <c r="R649" s="1310"/>
      <c r="T649" s="4"/>
      <c r="U649" t="s">
        <v>650</v>
      </c>
      <c r="Z649" s="1090" t="s">
        <v>2413</v>
      </c>
      <c r="AA649" s="1090"/>
      <c r="AB649" s="1090"/>
      <c r="AC649" s="1090"/>
      <c r="AD649" s="1090"/>
      <c r="AE649" s="1090"/>
      <c r="AH649" s="42" t="s">
        <v>818</v>
      </c>
      <c r="AI649" s="1310"/>
      <c r="AJ649" s="1310"/>
      <c r="AK649" s="131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158</v>
      </c>
      <c r="CR649" s="41"/>
      <c r="CS649" s="41"/>
    </row>
    <row r="650" spans="1:97" ht="12.9" customHeight="1">
      <c r="A650" s="4"/>
      <c r="B650" t="s">
        <v>834</v>
      </c>
      <c r="H650" s="1080" t="s">
        <v>2414</v>
      </c>
      <c r="I650" s="1080"/>
      <c r="J650" s="1080"/>
      <c r="K650" s="1080"/>
      <c r="L650" s="1080"/>
      <c r="M650" s="1080"/>
      <c r="N650" s="1080"/>
      <c r="O650" s="1080"/>
      <c r="P650" s="1080"/>
      <c r="Q650" s="1080"/>
      <c r="R650" s="1080"/>
      <c r="T650" s="4"/>
      <c r="U650" t="s">
        <v>834</v>
      </c>
      <c r="AA650" s="1080" t="s">
        <v>2418</v>
      </c>
      <c r="AB650" s="1080"/>
      <c r="AC650" s="1080"/>
      <c r="AD650" s="1080"/>
      <c r="AE650" s="1080"/>
      <c r="AF650" s="1080"/>
      <c r="AG650" s="1080"/>
      <c r="AH650" s="1080"/>
      <c r="AI650" s="1080"/>
      <c r="AJ650" s="1080"/>
      <c r="AK650" s="1080"/>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75" t="s">
        <v>108</v>
      </c>
      <c r="O651" s="1175"/>
      <c r="T651" s="4"/>
      <c r="U651" t="s">
        <v>836</v>
      </c>
      <c r="AG651" s="1175" t="s">
        <v>108</v>
      </c>
      <c r="AH651" s="1175"/>
      <c r="AM651" s="41"/>
      <c r="AN651" s="41"/>
      <c r="AO651" s="41"/>
      <c r="AP651" s="41"/>
      <c r="AQ651" s="41"/>
      <c r="AR651" s="41"/>
      <c r="AS651" s="41"/>
      <c r="AT651" s="41"/>
      <c r="AU651" s="41"/>
      <c r="AV651" s="41"/>
      <c r="AW651" s="41"/>
      <c r="AX651" s="41"/>
      <c r="AY651" s="41"/>
      <c r="AZ651" s="41"/>
      <c r="BA651" s="41"/>
      <c r="BB651" s="41"/>
      <c r="BC651" s="41"/>
      <c r="BD651" s="41"/>
      <c r="BN651" s="1315">
        <f>BN626+BN633+BN645</f>
        <v>0</v>
      </c>
      <c r="BO651" s="1316"/>
      <c r="BP651" s="1316"/>
      <c r="BQ651" s="1316"/>
      <c r="BR651" s="1317"/>
      <c r="BS651" s="1315">
        <f>BS626+BS633+BS645</f>
        <v>0</v>
      </c>
      <c r="BT651" s="1316"/>
      <c r="BU651" s="1316"/>
      <c r="BV651" s="1316"/>
      <c r="BW651" s="1317"/>
      <c r="BX651" s="1315">
        <f>BX626+BX633+BX645</f>
        <v>32</v>
      </c>
      <c r="BY651" s="1316"/>
      <c r="BZ651" s="1316"/>
      <c r="CA651" s="1316"/>
      <c r="CB651" s="1317"/>
      <c r="CC651" s="1315">
        <f>CC626+CC633+CC645</f>
        <v>32</v>
      </c>
      <c r="CD651" s="1316"/>
      <c r="CE651" s="1316"/>
      <c r="CF651" s="1316"/>
      <c r="CG651" s="1317"/>
      <c r="CH651" s="1315">
        <f>CH626+CH633+CH645</f>
        <v>0</v>
      </c>
      <c r="CI651" s="1316"/>
      <c r="CJ651" s="1316"/>
      <c r="CK651" s="1316"/>
      <c r="CL651" s="1317"/>
      <c r="CM651" s="1318">
        <f>CM645+CM633+CM626</f>
        <v>0</v>
      </c>
      <c r="CN651" s="1319"/>
      <c r="CO651" s="1319"/>
      <c r="CP651" s="1319"/>
      <c r="CQ651" s="1320"/>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31" t="str">
        <f>C625</f>
        <v>Boston Financial Solar Equity</v>
      </c>
      <c r="H653" s="1131"/>
      <c r="I653" s="1131"/>
      <c r="J653" s="1131"/>
      <c r="K653" s="1131"/>
      <c r="L653" s="1131"/>
      <c r="M653" s="1131"/>
      <c r="N653" s="1131"/>
      <c r="O653" s="1131"/>
      <c r="P653" s="1131"/>
      <c r="Q653" s="1131"/>
      <c r="R653" s="1131"/>
      <c r="T653" s="61" t="s">
        <v>434</v>
      </c>
      <c r="U653" t="s">
        <v>82</v>
      </c>
      <c r="Z653" s="1131" t="str">
        <f>C626</f>
        <v>Deferred Developer Fee</v>
      </c>
      <c r="AA653" s="1131"/>
      <c r="AB653" s="1131"/>
      <c r="AC653" s="1131"/>
      <c r="AD653" s="1131"/>
      <c r="AE653" s="1131"/>
      <c r="AF653" s="1131"/>
      <c r="AG653" s="1131"/>
      <c r="AH653" s="1131"/>
      <c r="AI653" s="1131"/>
      <c r="AJ653" s="1131"/>
      <c r="AK653" s="113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80" t="s">
        <v>2415</v>
      </c>
      <c r="H654" s="1080"/>
      <c r="I654" s="1080"/>
      <c r="J654" s="1080"/>
      <c r="K654" s="1080"/>
      <c r="L654" s="1080"/>
      <c r="M654" s="1080"/>
      <c r="N654" s="1080"/>
      <c r="O654" s="1080"/>
      <c r="P654" s="1080"/>
      <c r="Q654" s="1080"/>
      <c r="R654" s="1080"/>
      <c r="T654" s="4"/>
      <c r="U654" t="s">
        <v>372</v>
      </c>
      <c r="Z654" s="1180" t="s">
        <v>2338</v>
      </c>
      <c r="AA654" s="1080"/>
      <c r="AB654" s="1080"/>
      <c r="AC654" s="1080"/>
      <c r="AD654" s="1080"/>
      <c r="AE654" s="1080"/>
      <c r="AF654" s="1080"/>
      <c r="AG654" s="1080"/>
      <c r="AH654" s="1080"/>
      <c r="AI654" s="1080"/>
      <c r="AJ654" s="1080"/>
      <c r="AK654" s="108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80" t="s">
        <v>2391</v>
      </c>
      <c r="H655" s="1080"/>
      <c r="I655" s="1080"/>
      <c r="J655" s="1080"/>
      <c r="K655" s="1080"/>
      <c r="L655" s="1080"/>
      <c r="M655" s="1080"/>
      <c r="N655" s="1080"/>
      <c r="O655" s="1080"/>
      <c r="P655" s="1080"/>
      <c r="Q655" s="1080"/>
      <c r="R655" s="1080"/>
      <c r="T655" s="4"/>
      <c r="U655" t="s">
        <v>430</v>
      </c>
      <c r="Z655" s="1311" t="s">
        <v>2325</v>
      </c>
      <c r="AA655" s="1130"/>
      <c r="AB655" s="1130"/>
      <c r="AC655" s="1130"/>
      <c r="AD655" s="1130"/>
      <c r="AE655" s="1130"/>
      <c r="AF655" s="1130"/>
      <c r="AG655" s="1130"/>
      <c r="AH655" s="1130"/>
      <c r="AI655" s="1130"/>
      <c r="AJ655" s="1130"/>
      <c r="AK655" s="1130"/>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80" t="s">
        <v>2392</v>
      </c>
      <c r="H656" s="1080"/>
      <c r="I656" s="1080"/>
      <c r="J656" s="1080"/>
      <c r="K656" s="1080"/>
      <c r="L656" s="1080"/>
      <c r="M656" s="1080"/>
      <c r="N656" s="1080"/>
      <c r="O656" s="1080"/>
      <c r="P656" s="1080"/>
      <c r="Q656" s="1080"/>
      <c r="R656" s="1080"/>
      <c r="T656" s="4"/>
      <c r="U656" t="s">
        <v>833</v>
      </c>
      <c r="Z656" s="1311" t="s">
        <v>2346</v>
      </c>
      <c r="AA656" s="1130"/>
      <c r="AB656" s="1130"/>
      <c r="AC656" s="1130"/>
      <c r="AD656" s="1130"/>
      <c r="AE656" s="1130"/>
      <c r="AF656" s="1130"/>
      <c r="AG656" s="1130"/>
      <c r="AH656" s="1130"/>
      <c r="AI656" s="1130"/>
      <c r="AJ656" s="1130"/>
      <c r="AK656" s="113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90" t="s">
        <v>2393</v>
      </c>
      <c r="H657" s="1090"/>
      <c r="I657" s="1090"/>
      <c r="J657" s="1090"/>
      <c r="K657" s="1090"/>
      <c r="L657" s="1090"/>
      <c r="O657" s="42" t="s">
        <v>818</v>
      </c>
      <c r="P657" s="1310"/>
      <c r="Q657" s="1310"/>
      <c r="R657" s="1310"/>
      <c r="T657" s="4"/>
      <c r="U657" t="s">
        <v>650</v>
      </c>
      <c r="Z657" s="1090">
        <v>7078229000</v>
      </c>
      <c r="AA657" s="1090"/>
      <c r="AB657" s="1090"/>
      <c r="AC657" s="1090"/>
      <c r="AD657" s="1090"/>
      <c r="AE657" s="1090"/>
      <c r="AH657" s="42" t="s">
        <v>818</v>
      </c>
      <c r="AI657" s="1310"/>
      <c r="AJ657" s="1310"/>
      <c r="AK657" s="131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80" t="s">
        <v>2416</v>
      </c>
      <c r="I658" s="1080"/>
      <c r="J658" s="1080"/>
      <c r="K658" s="1080"/>
      <c r="L658" s="1080"/>
      <c r="M658" s="1080"/>
      <c r="N658" s="1080"/>
      <c r="O658" s="1080"/>
      <c r="P658" s="1080"/>
      <c r="Q658" s="1080"/>
      <c r="R658" s="1080"/>
      <c r="T658" s="4"/>
      <c r="U658" t="s">
        <v>834</v>
      </c>
      <c r="AA658" s="1180" t="s">
        <v>2456</v>
      </c>
      <c r="AB658" s="1080"/>
      <c r="AC658" s="1080"/>
      <c r="AD658" s="1080"/>
      <c r="AE658" s="1080"/>
      <c r="AF658" s="1080"/>
      <c r="AG658" s="1080"/>
      <c r="AH658" s="1080"/>
      <c r="AI658" s="1080"/>
      <c r="AJ658" s="1080"/>
      <c r="AK658" s="108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75" t="s">
        <v>108</v>
      </c>
      <c r="O659" s="1175"/>
      <c r="T659" s="4"/>
      <c r="U659" t="s">
        <v>836</v>
      </c>
      <c r="AG659" s="1175" t="s">
        <v>108</v>
      </c>
      <c r="AH659" s="117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31">
        <f>C627</f>
        <v>0</v>
      </c>
      <c r="H661" s="1131"/>
      <c r="I661" s="1131"/>
      <c r="J661" s="1131"/>
      <c r="K661" s="1131"/>
      <c r="L661" s="1131"/>
      <c r="M661" s="1131"/>
      <c r="N661" s="1131"/>
      <c r="O661" s="1131"/>
      <c r="P661" s="1131"/>
      <c r="Q661" s="1131"/>
      <c r="R661" s="1131"/>
      <c r="T661" s="61" t="s">
        <v>743</v>
      </c>
      <c r="U661" t="s">
        <v>82</v>
      </c>
      <c r="Z661" s="1131">
        <f>C628</f>
        <v>0</v>
      </c>
      <c r="AA661" s="1131"/>
      <c r="AB661" s="1131"/>
      <c r="AC661" s="1131"/>
      <c r="AD661" s="1131"/>
      <c r="AE661" s="1131"/>
      <c r="AF661" s="1131"/>
      <c r="AG661" s="1131"/>
      <c r="AH661" s="1131"/>
      <c r="AI661" s="1131"/>
      <c r="AJ661" s="1131"/>
      <c r="AK661" s="113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80"/>
      <c r="H662" s="1080"/>
      <c r="I662" s="1080"/>
      <c r="J662" s="1080"/>
      <c r="K662" s="1080"/>
      <c r="L662" s="1080"/>
      <c r="M662" s="1080"/>
      <c r="N662" s="1080"/>
      <c r="O662" s="1080"/>
      <c r="P662" s="1080"/>
      <c r="Q662" s="1080"/>
      <c r="R662" s="1080"/>
      <c r="T662" s="4"/>
      <c r="U662" t="s">
        <v>372</v>
      </c>
      <c r="Z662" s="1080"/>
      <c r="AA662" s="1080"/>
      <c r="AB662" s="1080"/>
      <c r="AC662" s="1080"/>
      <c r="AD662" s="1080"/>
      <c r="AE662" s="1080"/>
      <c r="AF662" s="1080"/>
      <c r="AG662" s="1080"/>
      <c r="AH662" s="1080"/>
      <c r="AI662" s="1080"/>
      <c r="AJ662" s="1080"/>
      <c r="AK662" s="108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80"/>
      <c r="H663" s="1080"/>
      <c r="I663" s="1080"/>
      <c r="J663" s="1080"/>
      <c r="K663" s="1080"/>
      <c r="L663" s="1080"/>
      <c r="M663" s="1080"/>
      <c r="N663" s="1080"/>
      <c r="O663" s="1080"/>
      <c r="P663" s="1080"/>
      <c r="Q663" s="1080"/>
      <c r="R663" s="1080"/>
      <c r="T663" s="4"/>
      <c r="U663" t="s">
        <v>430</v>
      </c>
      <c r="Z663" s="1130"/>
      <c r="AA663" s="1130"/>
      <c r="AB663" s="1130"/>
      <c r="AC663" s="1130"/>
      <c r="AD663" s="1130"/>
      <c r="AE663" s="1130"/>
      <c r="AF663" s="1130"/>
      <c r="AG663" s="1130"/>
      <c r="AH663" s="1130"/>
      <c r="AI663" s="1130"/>
      <c r="AJ663" s="1130"/>
      <c r="AK663" s="113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80"/>
      <c r="H664" s="1080"/>
      <c r="I664" s="1080"/>
      <c r="J664" s="1080"/>
      <c r="K664" s="1080"/>
      <c r="L664" s="1080"/>
      <c r="M664" s="1080"/>
      <c r="N664" s="1080"/>
      <c r="O664" s="1080"/>
      <c r="P664" s="1080"/>
      <c r="Q664" s="1080"/>
      <c r="R664" s="1080"/>
      <c r="T664" s="4"/>
      <c r="U664" t="s">
        <v>833</v>
      </c>
      <c r="Z664" s="1130"/>
      <c r="AA664" s="1130"/>
      <c r="AB664" s="1130"/>
      <c r="AC664" s="1130"/>
      <c r="AD664" s="1130"/>
      <c r="AE664" s="1130"/>
      <c r="AF664" s="1130"/>
      <c r="AG664" s="1130"/>
      <c r="AH664" s="1130"/>
      <c r="AI664" s="1130"/>
      <c r="AJ664" s="1130"/>
      <c r="AK664" s="1130"/>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90"/>
      <c r="H665" s="1090"/>
      <c r="I665" s="1090"/>
      <c r="J665" s="1090"/>
      <c r="K665" s="1090"/>
      <c r="L665" s="1090"/>
      <c r="O665" s="42" t="s">
        <v>818</v>
      </c>
      <c r="P665" s="1310"/>
      <c r="Q665" s="1310"/>
      <c r="R665" s="1310"/>
      <c r="T665" s="4"/>
      <c r="U665" t="s">
        <v>650</v>
      </c>
      <c r="Z665" s="1090"/>
      <c r="AA665" s="1090"/>
      <c r="AB665" s="1090"/>
      <c r="AC665" s="1090"/>
      <c r="AD665" s="1090"/>
      <c r="AE665" s="1090"/>
      <c r="AH665" s="42" t="s">
        <v>818</v>
      </c>
      <c r="AI665" s="1310"/>
      <c r="AJ665" s="1310"/>
      <c r="AK665" s="131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80"/>
      <c r="I666" s="1080"/>
      <c r="J666" s="1080"/>
      <c r="K666" s="1080"/>
      <c r="L666" s="1080"/>
      <c r="M666" s="1080"/>
      <c r="N666" s="1080"/>
      <c r="O666" s="1080"/>
      <c r="P666" s="1080"/>
      <c r="Q666" s="1080"/>
      <c r="R666" s="1080"/>
      <c r="T666" s="4"/>
      <c r="U666" t="s">
        <v>834</v>
      </c>
      <c r="AA666" s="1080"/>
      <c r="AB666" s="1080"/>
      <c r="AC666" s="1080"/>
      <c r="AD666" s="1080"/>
      <c r="AE666" s="1080"/>
      <c r="AF666" s="1080"/>
      <c r="AG666" s="1080"/>
      <c r="AH666" s="1080"/>
      <c r="AI666" s="1080"/>
      <c r="AJ666" s="1080"/>
      <c r="AK666" s="108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75" t="s">
        <v>482</v>
      </c>
      <c r="O667" s="1175"/>
      <c r="T667" s="4"/>
      <c r="U667" t="s">
        <v>836</v>
      </c>
      <c r="AG667" s="1175" t="s">
        <v>482</v>
      </c>
      <c r="AH667" s="117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31">
        <f>C629</f>
        <v>0</v>
      </c>
      <c r="H669" s="1131"/>
      <c r="I669" s="1131"/>
      <c r="J669" s="1131"/>
      <c r="K669" s="1131"/>
      <c r="L669" s="1131"/>
      <c r="M669" s="1131"/>
      <c r="N669" s="1131"/>
      <c r="O669" s="1131"/>
      <c r="P669" s="1131"/>
      <c r="Q669" s="1131"/>
      <c r="R669" s="1131"/>
      <c r="T669" s="61" t="s">
        <v>174</v>
      </c>
      <c r="U669" t="s">
        <v>82</v>
      </c>
      <c r="Z669" s="1131">
        <f>C630</f>
        <v>0</v>
      </c>
      <c r="AA669" s="1131"/>
      <c r="AB669" s="1131"/>
      <c r="AC669" s="1131"/>
      <c r="AD669" s="1131"/>
      <c r="AE669" s="1131"/>
      <c r="AF669" s="1131"/>
      <c r="AG669" s="1131"/>
      <c r="AH669" s="1131"/>
      <c r="AI669" s="1131"/>
      <c r="AJ669" s="1131"/>
      <c r="AK669" s="113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80"/>
      <c r="H670" s="1080"/>
      <c r="I670" s="1080"/>
      <c r="J670" s="1080"/>
      <c r="K670" s="1080"/>
      <c r="L670" s="1080"/>
      <c r="M670" s="1080"/>
      <c r="N670" s="1080"/>
      <c r="O670" s="1080"/>
      <c r="P670" s="1080"/>
      <c r="Q670" s="1080"/>
      <c r="R670" s="1080"/>
      <c r="T670" s="4"/>
      <c r="U670" t="s">
        <v>372</v>
      </c>
      <c r="Z670" s="1080"/>
      <c r="AA670" s="1080"/>
      <c r="AB670" s="1080"/>
      <c r="AC670" s="1080"/>
      <c r="AD670" s="1080"/>
      <c r="AE670" s="1080"/>
      <c r="AF670" s="1080"/>
      <c r="AG670" s="1080"/>
      <c r="AH670" s="1080"/>
      <c r="AI670" s="1080"/>
      <c r="AJ670" s="1080"/>
      <c r="AK670" s="108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80"/>
      <c r="H671" s="1080"/>
      <c r="I671" s="1080"/>
      <c r="J671" s="1080"/>
      <c r="K671" s="1080"/>
      <c r="L671" s="1080"/>
      <c r="M671" s="1080"/>
      <c r="N671" s="1080"/>
      <c r="O671" s="1080"/>
      <c r="P671" s="1080"/>
      <c r="Q671" s="1080"/>
      <c r="R671" s="1080"/>
      <c r="T671" s="4"/>
      <c r="U671" t="s">
        <v>430</v>
      </c>
      <c r="Z671" s="1130"/>
      <c r="AA671" s="1130"/>
      <c r="AB671" s="1130"/>
      <c r="AC671" s="1130"/>
      <c r="AD671" s="1130"/>
      <c r="AE671" s="1130"/>
      <c r="AF671" s="1130"/>
      <c r="AG671" s="1130"/>
      <c r="AH671" s="1130"/>
      <c r="AI671" s="1130"/>
      <c r="AJ671" s="1130"/>
      <c r="AK671" s="1130"/>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80"/>
      <c r="H672" s="1080"/>
      <c r="I672" s="1080"/>
      <c r="J672" s="1080"/>
      <c r="K672" s="1080"/>
      <c r="L672" s="1080"/>
      <c r="M672" s="1080"/>
      <c r="N672" s="1080"/>
      <c r="O672" s="1080"/>
      <c r="P672" s="1080"/>
      <c r="Q672" s="1080"/>
      <c r="R672" s="1080"/>
      <c r="T672" s="4"/>
      <c r="U672" t="s">
        <v>833</v>
      </c>
      <c r="Z672" s="1130"/>
      <c r="AA672" s="1130"/>
      <c r="AB672" s="1130"/>
      <c r="AC672" s="1130"/>
      <c r="AD672" s="1130"/>
      <c r="AE672" s="1130"/>
      <c r="AF672" s="1130"/>
      <c r="AG672" s="1130"/>
      <c r="AH672" s="1130"/>
      <c r="AI672" s="1130"/>
      <c r="AJ672" s="1130"/>
      <c r="AK672" s="1130"/>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90"/>
      <c r="H673" s="1090"/>
      <c r="I673" s="1090"/>
      <c r="J673" s="1090"/>
      <c r="K673" s="1090"/>
      <c r="L673" s="1090"/>
      <c r="O673" s="42" t="s">
        <v>818</v>
      </c>
      <c r="P673" s="1310"/>
      <c r="Q673" s="1310"/>
      <c r="R673" s="1310"/>
      <c r="T673" s="4"/>
      <c r="U673" t="s">
        <v>650</v>
      </c>
      <c r="Z673" s="1090"/>
      <c r="AA673" s="1090"/>
      <c r="AB673" s="1090"/>
      <c r="AC673" s="1090"/>
      <c r="AD673" s="1090"/>
      <c r="AE673" s="1090"/>
      <c r="AH673" s="42" t="s">
        <v>818</v>
      </c>
      <c r="AI673" s="1310"/>
      <c r="AJ673" s="1310"/>
      <c r="AK673" s="131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80"/>
      <c r="I674" s="1080"/>
      <c r="J674" s="1080"/>
      <c r="K674" s="1080"/>
      <c r="L674" s="1080"/>
      <c r="M674" s="1080"/>
      <c r="N674" s="1080"/>
      <c r="O674" s="1080"/>
      <c r="P674" s="1080"/>
      <c r="Q674" s="1080"/>
      <c r="R674" s="1080"/>
      <c r="T674" s="4"/>
      <c r="U674" t="s">
        <v>834</v>
      </c>
      <c r="AA674" s="1080"/>
      <c r="AB674" s="1080"/>
      <c r="AC674" s="1080"/>
      <c r="AD674" s="1080"/>
      <c r="AE674" s="1080"/>
      <c r="AF674" s="1080"/>
      <c r="AG674" s="1080"/>
      <c r="AH674" s="1080"/>
      <c r="AI674" s="1080"/>
      <c r="AJ674" s="1080"/>
      <c r="AK674" s="108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75" t="s">
        <v>482</v>
      </c>
      <c r="O675" s="1175"/>
      <c r="T675" s="4"/>
      <c r="U675" t="s">
        <v>836</v>
      </c>
      <c r="AG675" s="1175" t="s">
        <v>482</v>
      </c>
      <c r="AH675" s="117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31">
        <f>C631</f>
        <v>0</v>
      </c>
      <c r="H677" s="1131"/>
      <c r="I677" s="1131"/>
      <c r="J677" s="1131"/>
      <c r="K677" s="1131"/>
      <c r="L677" s="1131"/>
      <c r="M677" s="1131"/>
      <c r="N677" s="1131"/>
      <c r="O677" s="1131"/>
      <c r="P677" s="1131"/>
      <c r="Q677" s="1131"/>
      <c r="R677" s="1131"/>
      <c r="T677" s="61" t="s">
        <v>33</v>
      </c>
      <c r="U677" t="s">
        <v>82</v>
      </c>
      <c r="Z677" s="1131">
        <f>C632</f>
        <v>0</v>
      </c>
      <c r="AA677" s="1131"/>
      <c r="AB677" s="1131"/>
      <c r="AC677" s="1131"/>
      <c r="AD677" s="1131"/>
      <c r="AE677" s="1131"/>
      <c r="AF677" s="1131"/>
      <c r="AG677" s="1131"/>
      <c r="AH677" s="1131"/>
      <c r="AI677" s="1131"/>
      <c r="AJ677" s="1131"/>
      <c r="AK677" s="113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80"/>
      <c r="H678" s="1080"/>
      <c r="I678" s="1080"/>
      <c r="J678" s="1080"/>
      <c r="K678" s="1080"/>
      <c r="L678" s="1080"/>
      <c r="M678" s="1080"/>
      <c r="N678" s="1080"/>
      <c r="O678" s="1080"/>
      <c r="P678" s="1080"/>
      <c r="Q678" s="1080"/>
      <c r="R678" s="1080"/>
      <c r="T678" s="4"/>
      <c r="U678" t="s">
        <v>372</v>
      </c>
      <c r="Z678" s="1080"/>
      <c r="AA678" s="1080"/>
      <c r="AB678" s="1080"/>
      <c r="AC678" s="1080"/>
      <c r="AD678" s="1080"/>
      <c r="AE678" s="1080"/>
      <c r="AF678" s="1080"/>
      <c r="AG678" s="1080"/>
      <c r="AH678" s="1080"/>
      <c r="AI678" s="1080"/>
      <c r="AJ678" s="1080"/>
      <c r="AK678" s="108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80"/>
      <c r="H679" s="1080"/>
      <c r="I679" s="1080"/>
      <c r="J679" s="1080"/>
      <c r="K679" s="1080"/>
      <c r="L679" s="1080"/>
      <c r="M679" s="1080"/>
      <c r="N679" s="1080"/>
      <c r="O679" s="1080"/>
      <c r="P679" s="1080"/>
      <c r="Q679" s="1080"/>
      <c r="R679" s="1080"/>
      <c r="U679" t="s">
        <v>430</v>
      </c>
      <c r="Z679" s="1130"/>
      <c r="AA679" s="1130"/>
      <c r="AB679" s="1130"/>
      <c r="AC679" s="1130"/>
      <c r="AD679" s="1130"/>
      <c r="AE679" s="1130"/>
      <c r="AF679" s="1130"/>
      <c r="AG679" s="1130"/>
      <c r="AH679" s="1130"/>
      <c r="AI679" s="1130"/>
      <c r="AJ679" s="1130"/>
      <c r="AK679" s="1130"/>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80"/>
      <c r="H680" s="1080"/>
      <c r="I680" s="1080"/>
      <c r="J680" s="1080"/>
      <c r="K680" s="1080"/>
      <c r="L680" s="1080"/>
      <c r="M680" s="1080"/>
      <c r="N680" s="1080"/>
      <c r="O680" s="1080"/>
      <c r="P680" s="1080"/>
      <c r="Q680" s="1080"/>
      <c r="R680" s="1080"/>
      <c r="U680" t="s">
        <v>833</v>
      </c>
      <c r="Z680" s="1130"/>
      <c r="AA680" s="1130"/>
      <c r="AB680" s="1130"/>
      <c r="AC680" s="1130"/>
      <c r="AD680" s="1130"/>
      <c r="AE680" s="1130"/>
      <c r="AF680" s="1130"/>
      <c r="AG680" s="1130"/>
      <c r="AH680" s="1130"/>
      <c r="AI680" s="1130"/>
      <c r="AJ680" s="1130"/>
      <c r="AK680" s="1130"/>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90"/>
      <c r="H681" s="1090"/>
      <c r="I681" s="1090"/>
      <c r="J681" s="1090"/>
      <c r="K681" s="1090"/>
      <c r="L681" s="1090"/>
      <c r="O681" s="42" t="s">
        <v>818</v>
      </c>
      <c r="P681" s="1310"/>
      <c r="Q681" s="1310"/>
      <c r="R681" s="1310"/>
      <c r="U681" t="s">
        <v>650</v>
      </c>
      <c r="Z681" s="1090"/>
      <c r="AA681" s="1090"/>
      <c r="AB681" s="1090"/>
      <c r="AC681" s="1090"/>
      <c r="AD681" s="1090"/>
      <c r="AE681" s="1090"/>
      <c r="AH681" s="42" t="s">
        <v>818</v>
      </c>
      <c r="AI681" s="1310"/>
      <c r="AJ681" s="1310"/>
      <c r="AK681" s="131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80"/>
      <c r="I682" s="1080"/>
      <c r="J682" s="1080"/>
      <c r="K682" s="1080"/>
      <c r="L682" s="1080"/>
      <c r="M682" s="1080"/>
      <c r="N682" s="1080"/>
      <c r="O682" s="1080"/>
      <c r="P682" s="1080"/>
      <c r="Q682" s="1080"/>
      <c r="R682" s="1080"/>
      <c r="U682" t="s">
        <v>834</v>
      </c>
      <c r="AA682" s="1080"/>
      <c r="AB682" s="1080"/>
      <c r="AC682" s="1080"/>
      <c r="AD682" s="1080"/>
      <c r="AE682" s="1080"/>
      <c r="AF682" s="1080"/>
      <c r="AG682" s="1080"/>
      <c r="AH682" s="1080"/>
      <c r="AI682" s="1080"/>
      <c r="AJ682" s="1080"/>
      <c r="AK682" s="108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75" t="s">
        <v>482</v>
      </c>
      <c r="O683" s="1175"/>
      <c r="U683" t="s">
        <v>836</v>
      </c>
      <c r="AG683" s="1175" t="s">
        <v>482</v>
      </c>
      <c r="AH683" s="117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160" t="s">
        <v>127</v>
      </c>
      <c r="B686" s="1160"/>
      <c r="C686" s="1160"/>
      <c r="D686" s="1160"/>
      <c r="E686" s="1160"/>
      <c r="F686" s="1160"/>
      <c r="G686" s="1160"/>
      <c r="H686" s="1160"/>
      <c r="I686" s="1160"/>
      <c r="J686" s="1160"/>
      <c r="K686" s="1160"/>
      <c r="L686" s="1160"/>
      <c r="M686" s="1160"/>
      <c r="N686" s="1160"/>
      <c r="O686" s="1160"/>
      <c r="P686" s="1160"/>
      <c r="Q686" s="1160"/>
      <c r="R686" s="1160"/>
      <c r="S686" s="1160"/>
      <c r="T686" s="1160"/>
      <c r="U686" s="1160"/>
      <c r="V686" s="1160"/>
      <c r="W686" s="1160"/>
      <c r="X686" s="1160"/>
      <c r="Y686" s="1160"/>
      <c r="Z686" s="1160"/>
      <c r="AA686" s="1160"/>
      <c r="AB686" s="1160"/>
      <c r="AC686" s="1160"/>
      <c r="AD686" s="1160"/>
      <c r="AE686" s="1160"/>
      <c r="AF686" s="1160"/>
      <c r="AG686" s="1160"/>
      <c r="AH686" s="1160"/>
      <c r="AI686" s="1160"/>
      <c r="AJ686" s="1160"/>
      <c r="AK686" s="1160"/>
      <c r="AL686" s="1160"/>
      <c r="AM686" s="1160"/>
      <c r="AN686" s="1160"/>
      <c r="AO686" s="1160"/>
      <c r="AP686" s="1160"/>
      <c r="AQ686" s="1160"/>
      <c r="AR686" s="1160"/>
      <c r="AS686" s="1160"/>
      <c r="AT686" s="1160"/>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160"/>
      <c r="B687" s="1160"/>
      <c r="C687" s="1160"/>
      <c r="D687" s="1160"/>
      <c r="E687" s="1160"/>
      <c r="F687" s="1160"/>
      <c r="G687" s="1160"/>
      <c r="H687" s="1160"/>
      <c r="I687" s="1160"/>
      <c r="J687" s="1160"/>
      <c r="K687" s="1160"/>
      <c r="L687" s="1160"/>
      <c r="M687" s="1160"/>
      <c r="N687" s="1160"/>
      <c r="O687" s="1160"/>
      <c r="P687" s="1160"/>
      <c r="Q687" s="1160"/>
      <c r="R687" s="1160"/>
      <c r="S687" s="1160"/>
      <c r="T687" s="1160"/>
      <c r="U687" s="1160"/>
      <c r="V687" s="1160"/>
      <c r="W687" s="1160"/>
      <c r="X687" s="1160"/>
      <c r="Y687" s="1160"/>
      <c r="Z687" s="1160"/>
      <c r="AA687" s="1160"/>
      <c r="AB687" s="1160"/>
      <c r="AC687" s="1160"/>
      <c r="AD687" s="1160"/>
      <c r="AE687" s="1160"/>
      <c r="AF687" s="1160"/>
      <c r="AG687" s="1160"/>
      <c r="AH687" s="1160"/>
      <c r="AI687" s="1160"/>
      <c r="AJ687" s="1160"/>
      <c r="AK687" s="1160"/>
      <c r="AL687" s="1160"/>
      <c r="AM687" s="1160"/>
      <c r="AN687" s="1160"/>
      <c r="AO687" s="1160"/>
      <c r="AP687" s="1160"/>
      <c r="AQ687" s="1160"/>
      <c r="AR687" s="1160"/>
      <c r="AS687" s="1160"/>
      <c r="AT687" s="1160"/>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160"/>
      <c r="B688" s="1160"/>
      <c r="C688" s="1160"/>
      <c r="D688" s="1160"/>
      <c r="E688" s="1160"/>
      <c r="F688" s="1160"/>
      <c r="G688" s="1160"/>
      <c r="H688" s="1160"/>
      <c r="I688" s="1160"/>
      <c r="J688" s="1160"/>
      <c r="K688" s="1160"/>
      <c r="L688" s="1160"/>
      <c r="M688" s="1160"/>
      <c r="N688" s="1160"/>
      <c r="O688" s="1160"/>
      <c r="P688" s="1160"/>
      <c r="Q688" s="1160"/>
      <c r="R688" s="1160"/>
      <c r="S688" s="1160"/>
      <c r="T688" s="1160"/>
      <c r="U688" s="1160"/>
      <c r="V688" s="1160"/>
      <c r="W688" s="1160"/>
      <c r="X688" s="1160"/>
      <c r="Y688" s="1160"/>
      <c r="Z688" s="1160"/>
      <c r="AA688" s="1160"/>
      <c r="AB688" s="1160"/>
      <c r="AC688" s="1160"/>
      <c r="AD688" s="1160"/>
      <c r="AE688" s="1160"/>
      <c r="AF688" s="1160"/>
      <c r="AG688" s="1160"/>
      <c r="AH688" s="1160"/>
      <c r="AI688" s="1160"/>
      <c r="AJ688" s="1160"/>
      <c r="AK688" s="1160"/>
      <c r="AL688" s="1160"/>
      <c r="AM688" s="1160"/>
      <c r="AN688" s="1160"/>
      <c r="AO688" s="1160"/>
      <c r="AP688" s="1160"/>
      <c r="AQ688" s="1160"/>
      <c r="AR688" s="1160"/>
      <c r="AS688" s="1160"/>
      <c r="AT688" s="1160"/>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094" t="s">
        <v>54</v>
      </c>
      <c r="C691" s="1095"/>
      <c r="D691" s="1095"/>
      <c r="E691" s="1095"/>
      <c r="F691" s="1096"/>
      <c r="G691" s="1094" t="s">
        <v>256</v>
      </c>
      <c r="H691" s="1095"/>
      <c r="I691" s="1095"/>
      <c r="J691" s="1096"/>
      <c r="K691" s="1291" t="s">
        <v>1993</v>
      </c>
      <c r="L691" s="1292"/>
      <c r="M691" s="1292"/>
      <c r="N691" s="1293"/>
      <c r="O691" s="1094" t="s">
        <v>589</v>
      </c>
      <c r="P691" s="1095"/>
      <c r="Q691" s="1095"/>
      <c r="R691" s="1095"/>
      <c r="S691" s="1096"/>
      <c r="T691" s="1094" t="s">
        <v>257</v>
      </c>
      <c r="U691" s="1095"/>
      <c r="V691" s="1095"/>
      <c r="W691" s="1095"/>
      <c r="X691" s="1096"/>
      <c r="Y691" s="1094" t="s">
        <v>258</v>
      </c>
      <c r="Z691" s="1095"/>
      <c r="AA691" s="1095"/>
      <c r="AB691" s="1096"/>
      <c r="AC691" s="1094" t="s">
        <v>259</v>
      </c>
      <c r="AD691" s="1095"/>
      <c r="AE691" s="1095"/>
      <c r="AF691" s="1095"/>
      <c r="AG691" s="1096"/>
      <c r="AH691" s="1094" t="s">
        <v>1994</v>
      </c>
      <c r="AI691" s="1095"/>
      <c r="AJ691" s="1095"/>
      <c r="AK691" s="1095"/>
      <c r="AL691" s="1096"/>
      <c r="AM691" s="1094" t="s">
        <v>1995</v>
      </c>
      <c r="AN691" s="1095"/>
      <c r="AO691" s="1096"/>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097"/>
      <c r="C692" s="1098"/>
      <c r="D692" s="1098"/>
      <c r="E692" s="1098"/>
      <c r="F692" s="1099"/>
      <c r="G692" s="1097"/>
      <c r="H692" s="1098"/>
      <c r="I692" s="1098"/>
      <c r="J692" s="1099"/>
      <c r="K692" s="1294"/>
      <c r="L692" s="1295"/>
      <c r="M692" s="1295"/>
      <c r="N692" s="1296"/>
      <c r="O692" s="1097"/>
      <c r="P692" s="1098"/>
      <c r="Q692" s="1098"/>
      <c r="R692" s="1098"/>
      <c r="S692" s="1099"/>
      <c r="T692" s="1097"/>
      <c r="U692" s="1098"/>
      <c r="V692" s="1098"/>
      <c r="W692" s="1098"/>
      <c r="X692" s="1099"/>
      <c r="Y692" s="1097"/>
      <c r="Z692" s="1098"/>
      <c r="AA692" s="1098"/>
      <c r="AB692" s="1099"/>
      <c r="AC692" s="1097"/>
      <c r="AD692" s="1098"/>
      <c r="AE692" s="1098"/>
      <c r="AF692" s="1098"/>
      <c r="AG692" s="1099"/>
      <c r="AH692" s="1097"/>
      <c r="AI692" s="1098"/>
      <c r="AJ692" s="1098"/>
      <c r="AK692" s="1098"/>
      <c r="AL692" s="1099"/>
      <c r="AM692" s="1097"/>
      <c r="AN692" s="1098"/>
      <c r="AO692" s="1099"/>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097"/>
      <c r="C693" s="1098"/>
      <c r="D693" s="1098"/>
      <c r="E693" s="1098"/>
      <c r="F693" s="1099"/>
      <c r="G693" s="1097"/>
      <c r="H693" s="1098"/>
      <c r="I693" s="1098"/>
      <c r="J693" s="1099"/>
      <c r="K693" s="1294"/>
      <c r="L693" s="1295"/>
      <c r="M693" s="1295"/>
      <c r="N693" s="1296"/>
      <c r="O693" s="1097"/>
      <c r="P693" s="1098"/>
      <c r="Q693" s="1098"/>
      <c r="R693" s="1098"/>
      <c r="S693" s="1099"/>
      <c r="T693" s="1097"/>
      <c r="U693" s="1098"/>
      <c r="V693" s="1098"/>
      <c r="W693" s="1098"/>
      <c r="X693" s="1099"/>
      <c r="Y693" s="1097"/>
      <c r="Z693" s="1098"/>
      <c r="AA693" s="1098"/>
      <c r="AB693" s="1099"/>
      <c r="AC693" s="1097"/>
      <c r="AD693" s="1098"/>
      <c r="AE693" s="1098"/>
      <c r="AF693" s="1098"/>
      <c r="AG693" s="1099"/>
      <c r="AH693" s="1097"/>
      <c r="AI693" s="1098"/>
      <c r="AJ693" s="1098"/>
      <c r="AK693" s="1098"/>
      <c r="AL693" s="1099"/>
      <c r="AM693" s="1097"/>
      <c r="AN693" s="1098"/>
      <c r="AO693" s="1099"/>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100"/>
      <c r="C694" s="1101"/>
      <c r="D694" s="1101"/>
      <c r="E694" s="1101"/>
      <c r="F694" s="1102"/>
      <c r="G694" s="1100"/>
      <c r="H694" s="1101"/>
      <c r="I694" s="1101"/>
      <c r="J694" s="1102"/>
      <c r="K694" s="1294"/>
      <c r="L694" s="1295"/>
      <c r="M694" s="1295"/>
      <c r="N694" s="1296"/>
      <c r="O694" s="1100"/>
      <c r="P694" s="1101"/>
      <c r="Q694" s="1101"/>
      <c r="R694" s="1101"/>
      <c r="S694" s="1102"/>
      <c r="T694" s="1100"/>
      <c r="U694" s="1101"/>
      <c r="V694" s="1101"/>
      <c r="W694" s="1101"/>
      <c r="X694" s="1102"/>
      <c r="Y694" s="1100"/>
      <c r="Z694" s="1101"/>
      <c r="AA694" s="1101"/>
      <c r="AB694" s="1102"/>
      <c r="AC694" s="1100"/>
      <c r="AD694" s="1101"/>
      <c r="AE694" s="1101"/>
      <c r="AF694" s="1101"/>
      <c r="AG694" s="1102"/>
      <c r="AH694" s="1100"/>
      <c r="AI694" s="1101"/>
      <c r="AJ694" s="1101"/>
      <c r="AK694" s="1101"/>
      <c r="AL694" s="1102"/>
      <c r="AM694" s="1100"/>
      <c r="AN694" s="1101"/>
      <c r="AO694" s="1102"/>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73" t="s">
        <v>780</v>
      </c>
      <c r="C695" s="1074"/>
      <c r="D695" s="1074"/>
      <c r="E695" s="1074"/>
      <c r="F695" s="1075"/>
      <c r="G695" s="1307">
        <v>7</v>
      </c>
      <c r="H695" s="1308"/>
      <c r="I695" s="1308"/>
      <c r="J695" s="1309"/>
      <c r="K695" s="1055">
        <v>795</v>
      </c>
      <c r="L695" s="1056"/>
      <c r="M695" s="1056"/>
      <c r="N695" s="1057"/>
      <c r="O695" s="1067">
        <f>594-12</f>
        <v>582</v>
      </c>
      <c r="P695" s="1068"/>
      <c r="Q695" s="1068"/>
      <c r="R695" s="1068"/>
      <c r="S695" s="1069"/>
      <c r="T695" s="1070">
        <f t="shared" ref="T695:T729" si="45">G695*O695</f>
        <v>4074</v>
      </c>
      <c r="U695" s="1071"/>
      <c r="V695" s="1071"/>
      <c r="W695" s="1071"/>
      <c r="X695" s="1072"/>
      <c r="Y695" s="1067">
        <v>12</v>
      </c>
      <c r="Z695" s="1068"/>
      <c r="AA695" s="1068"/>
      <c r="AB695" s="1069"/>
      <c r="AC695" s="1070">
        <f t="shared" ref="AC695:AC729" si="46">O695+Y695</f>
        <v>594</v>
      </c>
      <c r="AD695" s="1071"/>
      <c r="AE695" s="1071"/>
      <c r="AF695" s="1071"/>
      <c r="AG695" s="1072"/>
      <c r="AH695" s="1491">
        <v>0.3</v>
      </c>
      <c r="AI695" s="1492"/>
      <c r="AJ695" s="1492"/>
      <c r="AK695" s="1492"/>
      <c r="AL695" s="1493"/>
      <c r="AM695" s="1064">
        <f>IF($AH695&gt;0,($AC695/$AV695),"")</f>
        <v>0.3</v>
      </c>
      <c r="AN695" s="1065"/>
      <c r="AO695" s="1066"/>
      <c r="AV695" s="43">
        <f t="shared" ref="AV695:AV729" si="47">IF($G695=0,"N/A",VLOOKUP($T$189,TC_Rent,(MATCH($B695,bedrooms,FALSE))))</f>
        <v>1980</v>
      </c>
      <c r="AX695" s="43"/>
      <c r="AY695" s="445">
        <f t="shared" ref="AY695:AY718" si="48">G695</f>
        <v>7</v>
      </c>
      <c r="AZ695" s="452">
        <f t="shared" ref="AZ695:AZ718" si="49">IF($AY$730=0,"",AY695/$AY$730)</f>
        <v>0.1111111111111111</v>
      </c>
      <c r="BA695" s="453">
        <f t="shared" ref="BA695:BA718" si="50">IF(AZ695="","",AZ695*AH695)</f>
        <v>3.3333333333333333E-2</v>
      </c>
      <c r="BB695" s="41"/>
      <c r="BC695" s="41"/>
      <c r="BD695" s="41"/>
      <c r="BE695" s="851">
        <f t="shared" ref="BE695:BE718" si="51">G695</f>
        <v>7</v>
      </c>
      <c r="BF695" s="855">
        <f t="shared" ref="BF695:BF718" si="52">IF(BE695=0,"",BE695/$BE$730)</f>
        <v>0.1111111111111111</v>
      </c>
      <c r="BG695" s="856">
        <f t="shared" ref="BG695:BG718" si="53">IF(BF695="","",BF695*AM695)</f>
        <v>3.3333333333333333E-2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73" t="s">
        <v>780</v>
      </c>
      <c r="C696" s="1074"/>
      <c r="D696" s="1074"/>
      <c r="E696" s="1074"/>
      <c r="F696" s="1075"/>
      <c r="G696" s="1307">
        <v>4</v>
      </c>
      <c r="H696" s="1308"/>
      <c r="I696" s="1308"/>
      <c r="J696" s="1309"/>
      <c r="K696" s="1055">
        <v>795</v>
      </c>
      <c r="L696" s="1056"/>
      <c r="M696" s="1056"/>
      <c r="N696" s="1057"/>
      <c r="O696" s="1067">
        <f>792-12</f>
        <v>780</v>
      </c>
      <c r="P696" s="1068"/>
      <c r="Q696" s="1068"/>
      <c r="R696" s="1068"/>
      <c r="S696" s="1069"/>
      <c r="T696" s="1070">
        <f t="shared" si="45"/>
        <v>3120</v>
      </c>
      <c r="U696" s="1071"/>
      <c r="V696" s="1071"/>
      <c r="W696" s="1071"/>
      <c r="X696" s="1072"/>
      <c r="Y696" s="1067">
        <v>12</v>
      </c>
      <c r="Z696" s="1068"/>
      <c r="AA696" s="1068"/>
      <c r="AB696" s="1069"/>
      <c r="AC696" s="1070">
        <f t="shared" si="46"/>
        <v>792</v>
      </c>
      <c r="AD696" s="1071"/>
      <c r="AE696" s="1071"/>
      <c r="AF696" s="1071"/>
      <c r="AG696" s="1072"/>
      <c r="AH696" s="1304">
        <v>0.4</v>
      </c>
      <c r="AI696" s="1305"/>
      <c r="AJ696" s="1305"/>
      <c r="AK696" s="1305"/>
      <c r="AL696" s="1306"/>
      <c r="AM696" s="1064">
        <f t="shared" ref="AM696:AM718" si="54">IF($AH696&gt;0,($AC696/$AV696), "")</f>
        <v>0.4</v>
      </c>
      <c r="AN696" s="1065"/>
      <c r="AO696" s="1066"/>
      <c r="AV696" s="43">
        <f t="shared" si="47"/>
        <v>1980</v>
      </c>
      <c r="AX696" s="43"/>
      <c r="AY696" s="446">
        <f t="shared" si="48"/>
        <v>4</v>
      </c>
      <c r="AZ696" s="452">
        <f t="shared" si="49"/>
        <v>6.3492063492063489E-2</v>
      </c>
      <c r="BA696" s="453">
        <f t="shared" si="50"/>
        <v>2.5396825396825397E-2</v>
      </c>
      <c r="BB696" s="41"/>
      <c r="BC696" s="41"/>
      <c r="BD696" s="41"/>
      <c r="BE696" s="851">
        <f t="shared" si="51"/>
        <v>4</v>
      </c>
      <c r="BF696" s="855">
        <f t="shared" si="52"/>
        <v>6.3492063492063489E-2</v>
      </c>
      <c r="BG696" s="856">
        <f t="shared" si="53"/>
        <v>2.5396825396825397E-2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73" t="s">
        <v>780</v>
      </c>
      <c r="C697" s="1074"/>
      <c r="D697" s="1074"/>
      <c r="E697" s="1074"/>
      <c r="F697" s="1075"/>
      <c r="G697" s="1307">
        <v>7</v>
      </c>
      <c r="H697" s="1308"/>
      <c r="I697" s="1308"/>
      <c r="J697" s="1309"/>
      <c r="K697" s="1055">
        <v>795</v>
      </c>
      <c r="L697" s="1056"/>
      <c r="M697" s="1056"/>
      <c r="N697" s="1057"/>
      <c r="O697" s="1067">
        <f>990-12</f>
        <v>978</v>
      </c>
      <c r="P697" s="1068"/>
      <c r="Q697" s="1068"/>
      <c r="R697" s="1068"/>
      <c r="S697" s="1069"/>
      <c r="T697" s="1070">
        <f t="shared" si="45"/>
        <v>6846</v>
      </c>
      <c r="U697" s="1071"/>
      <c r="V697" s="1071"/>
      <c r="W697" s="1071"/>
      <c r="X697" s="1072"/>
      <c r="Y697" s="1067">
        <v>12</v>
      </c>
      <c r="Z697" s="1068"/>
      <c r="AA697" s="1068"/>
      <c r="AB697" s="1069"/>
      <c r="AC697" s="1070">
        <f t="shared" si="46"/>
        <v>990</v>
      </c>
      <c r="AD697" s="1071"/>
      <c r="AE697" s="1071"/>
      <c r="AF697" s="1071"/>
      <c r="AG697" s="1072"/>
      <c r="AH697" s="1304">
        <v>0.5</v>
      </c>
      <c r="AI697" s="1305"/>
      <c r="AJ697" s="1305"/>
      <c r="AK697" s="1305"/>
      <c r="AL697" s="1306"/>
      <c r="AM697" s="1064">
        <f t="shared" si="54"/>
        <v>0.5</v>
      </c>
      <c r="AN697" s="1065"/>
      <c r="AO697" s="1066"/>
      <c r="AV697" s="43">
        <f t="shared" si="47"/>
        <v>1980</v>
      </c>
      <c r="AX697" s="41"/>
      <c r="AY697" s="446">
        <f t="shared" si="48"/>
        <v>7</v>
      </c>
      <c r="AZ697" s="452">
        <f t="shared" si="49"/>
        <v>0.1111111111111111</v>
      </c>
      <c r="BA697" s="453">
        <f t="shared" si="50"/>
        <v>5.5555555555555552E-2</v>
      </c>
      <c r="BB697" s="41"/>
      <c r="BC697" s="41"/>
      <c r="BD697" s="41"/>
      <c r="BE697" s="851">
        <f t="shared" si="51"/>
        <v>7</v>
      </c>
      <c r="BF697" s="855">
        <f t="shared" si="52"/>
        <v>0.1111111111111111</v>
      </c>
      <c r="BG697" s="856">
        <f t="shared" si="53"/>
        <v>5.5555555555555552E-2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73" t="s">
        <v>780</v>
      </c>
      <c r="C698" s="1074"/>
      <c r="D698" s="1074"/>
      <c r="E698" s="1074"/>
      <c r="F698" s="1075"/>
      <c r="G698" s="1307">
        <v>13</v>
      </c>
      <c r="H698" s="1308"/>
      <c r="I698" s="1308"/>
      <c r="J698" s="1309"/>
      <c r="K698" s="1055">
        <v>795</v>
      </c>
      <c r="L698" s="1056"/>
      <c r="M698" s="1056"/>
      <c r="N698" s="1057"/>
      <c r="O698" s="1067">
        <f>1172-12</f>
        <v>1160</v>
      </c>
      <c r="P698" s="1068"/>
      <c r="Q698" s="1068"/>
      <c r="R698" s="1068"/>
      <c r="S698" s="1069"/>
      <c r="T698" s="1070">
        <f t="shared" si="45"/>
        <v>15080</v>
      </c>
      <c r="U698" s="1071"/>
      <c r="V698" s="1071"/>
      <c r="W698" s="1071"/>
      <c r="X698" s="1072"/>
      <c r="Y698" s="1067">
        <v>12</v>
      </c>
      <c r="Z698" s="1068"/>
      <c r="AA698" s="1068"/>
      <c r="AB698" s="1069"/>
      <c r="AC698" s="1070">
        <f t="shared" si="46"/>
        <v>1172</v>
      </c>
      <c r="AD698" s="1071"/>
      <c r="AE698" s="1071"/>
      <c r="AF698" s="1071"/>
      <c r="AG698" s="1072"/>
      <c r="AH698" s="1304">
        <v>0.6</v>
      </c>
      <c r="AI698" s="1305"/>
      <c r="AJ698" s="1305"/>
      <c r="AK698" s="1305"/>
      <c r="AL698" s="1306"/>
      <c r="AM698" s="1064">
        <f t="shared" si="54"/>
        <v>0.59191919191919196</v>
      </c>
      <c r="AN698" s="1065"/>
      <c r="AO698" s="1066"/>
      <c r="AV698" s="43">
        <f t="shared" si="47"/>
        <v>1980</v>
      </c>
      <c r="AX698" s="41"/>
      <c r="AY698" s="446">
        <f t="shared" si="48"/>
        <v>13</v>
      </c>
      <c r="AZ698" s="452">
        <f t="shared" si="49"/>
        <v>0.20634920634920634</v>
      </c>
      <c r="BA698" s="453">
        <f t="shared" si="50"/>
        <v>0.1238095238095238</v>
      </c>
      <c r="BB698" s="41"/>
      <c r="BC698" s="41"/>
      <c r="BD698" s="41"/>
      <c r="BE698" s="851">
        <f t="shared" si="51"/>
        <v>13</v>
      </c>
      <c r="BF698" s="855">
        <f t="shared" si="52"/>
        <v>0.20634920634920634</v>
      </c>
      <c r="BG698" s="856">
        <f t="shared" si="53"/>
        <v>0.12214205547538881</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73" t="s">
        <v>781</v>
      </c>
      <c r="C699" s="1074"/>
      <c r="D699" s="1074"/>
      <c r="E699" s="1074"/>
      <c r="F699" s="1075"/>
      <c r="G699" s="1307">
        <v>8</v>
      </c>
      <c r="H699" s="1308"/>
      <c r="I699" s="1308"/>
      <c r="J699" s="1309"/>
      <c r="K699" s="1055">
        <v>1067</v>
      </c>
      <c r="L699" s="1056"/>
      <c r="M699" s="1056"/>
      <c r="N699" s="1057"/>
      <c r="O699" s="1067">
        <f>685-12</f>
        <v>673</v>
      </c>
      <c r="P699" s="1068"/>
      <c r="Q699" s="1068"/>
      <c r="R699" s="1068"/>
      <c r="S699" s="1069"/>
      <c r="T699" s="1070">
        <f t="shared" si="45"/>
        <v>5384</v>
      </c>
      <c r="U699" s="1071"/>
      <c r="V699" s="1071"/>
      <c r="W699" s="1071"/>
      <c r="X699" s="1072"/>
      <c r="Y699" s="1067">
        <v>12</v>
      </c>
      <c r="Z699" s="1068"/>
      <c r="AA699" s="1068"/>
      <c r="AB699" s="1069"/>
      <c r="AC699" s="1070">
        <f t="shared" si="46"/>
        <v>685</v>
      </c>
      <c r="AD699" s="1071"/>
      <c r="AE699" s="1071"/>
      <c r="AF699" s="1071"/>
      <c r="AG699" s="1072"/>
      <c r="AH699" s="1304">
        <v>0.3</v>
      </c>
      <c r="AI699" s="1305"/>
      <c r="AJ699" s="1305"/>
      <c r="AK699" s="1305"/>
      <c r="AL699" s="1306"/>
      <c r="AM699" s="1064">
        <f t="shared" si="54"/>
        <v>0.29965004374453191</v>
      </c>
      <c r="AN699" s="1065"/>
      <c r="AO699" s="1066"/>
      <c r="AV699" s="43">
        <f t="shared" si="47"/>
        <v>2286</v>
      </c>
      <c r="AX699" s="41"/>
      <c r="AY699" s="446">
        <f t="shared" si="48"/>
        <v>8</v>
      </c>
      <c r="AZ699" s="452">
        <f t="shared" si="49"/>
        <v>0.12698412698412698</v>
      </c>
      <c r="BA699" s="453">
        <f t="shared" si="50"/>
        <v>3.8095238095238092E-2</v>
      </c>
      <c r="BB699" s="41"/>
      <c r="BC699" s="41"/>
      <c r="BD699" s="41"/>
      <c r="BE699" s="851">
        <f t="shared" si="51"/>
        <v>8</v>
      </c>
      <c r="BF699" s="855">
        <f t="shared" si="52"/>
        <v>0.12698412698412698</v>
      </c>
      <c r="BG699" s="856">
        <f t="shared" si="53"/>
        <v>3.8050799205654844E-2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73" t="s">
        <v>781</v>
      </c>
      <c r="C700" s="1074"/>
      <c r="D700" s="1074"/>
      <c r="E700" s="1074"/>
      <c r="F700" s="1075"/>
      <c r="G700" s="1307">
        <v>4</v>
      </c>
      <c r="H700" s="1308"/>
      <c r="I700" s="1308"/>
      <c r="J700" s="1309"/>
      <c r="K700" s="1055">
        <v>1067</v>
      </c>
      <c r="L700" s="1056"/>
      <c r="M700" s="1056"/>
      <c r="N700" s="1057"/>
      <c r="O700" s="1067">
        <f>914-12</f>
        <v>902</v>
      </c>
      <c r="P700" s="1068"/>
      <c r="Q700" s="1068"/>
      <c r="R700" s="1068"/>
      <c r="S700" s="1069"/>
      <c r="T700" s="1070">
        <f t="shared" si="45"/>
        <v>3608</v>
      </c>
      <c r="U700" s="1071"/>
      <c r="V700" s="1071"/>
      <c r="W700" s="1071"/>
      <c r="X700" s="1072"/>
      <c r="Y700" s="1067">
        <v>12</v>
      </c>
      <c r="Z700" s="1068"/>
      <c r="AA700" s="1068"/>
      <c r="AB700" s="1069"/>
      <c r="AC700" s="1070">
        <f t="shared" si="46"/>
        <v>914</v>
      </c>
      <c r="AD700" s="1071"/>
      <c r="AE700" s="1071"/>
      <c r="AF700" s="1071"/>
      <c r="AG700" s="1072"/>
      <c r="AH700" s="1304">
        <v>0.4</v>
      </c>
      <c r="AI700" s="1305"/>
      <c r="AJ700" s="1305"/>
      <c r="AK700" s="1305"/>
      <c r="AL700" s="1306"/>
      <c r="AM700" s="1064">
        <f t="shared" si="54"/>
        <v>0.39982502187226598</v>
      </c>
      <c r="AN700" s="1065"/>
      <c r="AO700" s="1066"/>
      <c r="AV700" s="43">
        <f t="shared" si="47"/>
        <v>2286</v>
      </c>
      <c r="AX700" s="41"/>
      <c r="AY700" s="446">
        <f t="shared" si="48"/>
        <v>4</v>
      </c>
      <c r="AZ700" s="452">
        <f t="shared" si="49"/>
        <v>6.3492063492063489E-2</v>
      </c>
      <c r="BA700" s="453">
        <f t="shared" si="50"/>
        <v>2.5396825396825397E-2</v>
      </c>
      <c r="BB700" s="41"/>
      <c r="BC700" s="41"/>
      <c r="BD700" s="41"/>
      <c r="BE700" s="851">
        <f t="shared" si="51"/>
        <v>4</v>
      </c>
      <c r="BF700" s="855">
        <f t="shared" si="52"/>
        <v>6.3492063492063489E-2</v>
      </c>
      <c r="BG700" s="856">
        <f t="shared" si="53"/>
        <v>2.5385715674429585E-2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73" t="s">
        <v>781</v>
      </c>
      <c r="C701" s="1074"/>
      <c r="D701" s="1074"/>
      <c r="E701" s="1074"/>
      <c r="F701" s="1075"/>
      <c r="G701" s="1307">
        <v>7</v>
      </c>
      <c r="H701" s="1308"/>
      <c r="I701" s="1308"/>
      <c r="J701" s="1309"/>
      <c r="K701" s="1055">
        <v>1067</v>
      </c>
      <c r="L701" s="1056"/>
      <c r="M701" s="1056"/>
      <c r="N701" s="1057"/>
      <c r="O701" s="1067">
        <f>1143-12</f>
        <v>1131</v>
      </c>
      <c r="P701" s="1068"/>
      <c r="Q701" s="1068"/>
      <c r="R701" s="1068"/>
      <c r="S701" s="1069"/>
      <c r="T701" s="1070">
        <f t="shared" si="45"/>
        <v>7917</v>
      </c>
      <c r="U701" s="1071"/>
      <c r="V701" s="1071"/>
      <c r="W701" s="1071"/>
      <c r="X701" s="1072"/>
      <c r="Y701" s="1067">
        <v>12</v>
      </c>
      <c r="Z701" s="1068"/>
      <c r="AA701" s="1068"/>
      <c r="AB701" s="1069"/>
      <c r="AC701" s="1070">
        <f t="shared" si="46"/>
        <v>1143</v>
      </c>
      <c r="AD701" s="1071"/>
      <c r="AE701" s="1071"/>
      <c r="AF701" s="1071"/>
      <c r="AG701" s="1072"/>
      <c r="AH701" s="1304">
        <v>0.5</v>
      </c>
      <c r="AI701" s="1305"/>
      <c r="AJ701" s="1305"/>
      <c r="AK701" s="1305"/>
      <c r="AL701" s="1306"/>
      <c r="AM701" s="1064">
        <f t="shared" si="54"/>
        <v>0.5</v>
      </c>
      <c r="AN701" s="1065"/>
      <c r="AO701" s="1066"/>
      <c r="AV701" s="43">
        <f t="shared" si="47"/>
        <v>2286</v>
      </c>
      <c r="AX701" s="41"/>
      <c r="AY701" s="446">
        <f t="shared" si="48"/>
        <v>7</v>
      </c>
      <c r="AZ701" s="452">
        <f t="shared" si="49"/>
        <v>0.1111111111111111</v>
      </c>
      <c r="BA701" s="453">
        <f t="shared" si="50"/>
        <v>5.5555555555555552E-2</v>
      </c>
      <c r="BB701" s="41"/>
      <c r="BC701" s="41"/>
      <c r="BD701" s="41"/>
      <c r="BE701" s="851">
        <f t="shared" si="51"/>
        <v>7</v>
      </c>
      <c r="BF701" s="855">
        <f t="shared" si="52"/>
        <v>0.1111111111111111</v>
      </c>
      <c r="BG701" s="856">
        <f t="shared" si="53"/>
        <v>5.5555555555555552E-2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73" t="s">
        <v>781</v>
      </c>
      <c r="C702" s="1074"/>
      <c r="D702" s="1074"/>
      <c r="E702" s="1074"/>
      <c r="F702" s="1075"/>
      <c r="G702" s="1307">
        <v>13</v>
      </c>
      <c r="H702" s="1308"/>
      <c r="I702" s="1308"/>
      <c r="J702" s="1309"/>
      <c r="K702" s="1055">
        <v>1067</v>
      </c>
      <c r="L702" s="1056"/>
      <c r="M702" s="1056"/>
      <c r="N702" s="1057"/>
      <c r="O702" s="1067">
        <f>1312-12</f>
        <v>1300</v>
      </c>
      <c r="P702" s="1068"/>
      <c r="Q702" s="1068"/>
      <c r="R702" s="1068"/>
      <c r="S702" s="1069"/>
      <c r="T702" s="1070">
        <f t="shared" si="45"/>
        <v>16900</v>
      </c>
      <c r="U702" s="1071"/>
      <c r="V702" s="1071"/>
      <c r="W702" s="1071"/>
      <c r="X702" s="1072"/>
      <c r="Y702" s="1067">
        <v>12</v>
      </c>
      <c r="Z702" s="1068"/>
      <c r="AA702" s="1068"/>
      <c r="AB702" s="1069"/>
      <c r="AC702" s="1070">
        <f t="shared" si="46"/>
        <v>1312</v>
      </c>
      <c r="AD702" s="1071"/>
      <c r="AE702" s="1071"/>
      <c r="AF702" s="1071"/>
      <c r="AG702" s="1072"/>
      <c r="AH702" s="1304">
        <v>0.6</v>
      </c>
      <c r="AI702" s="1305"/>
      <c r="AJ702" s="1305"/>
      <c r="AK702" s="1305"/>
      <c r="AL702" s="1306"/>
      <c r="AM702" s="1064">
        <f t="shared" si="54"/>
        <v>0.573928258967629</v>
      </c>
      <c r="AN702" s="1065"/>
      <c r="AO702" s="1066"/>
      <c r="AV702" s="43">
        <f t="shared" si="47"/>
        <v>2286</v>
      </c>
      <c r="AX702" s="41"/>
      <c r="AY702" s="446">
        <f t="shared" si="48"/>
        <v>13</v>
      </c>
      <c r="AZ702" s="452">
        <f t="shared" si="49"/>
        <v>0.20634920634920634</v>
      </c>
      <c r="BA702" s="453">
        <f t="shared" si="50"/>
        <v>0.1238095238095238</v>
      </c>
      <c r="BB702" s="41"/>
      <c r="BC702" s="41"/>
      <c r="BD702" s="41"/>
      <c r="BE702" s="851">
        <f t="shared" si="51"/>
        <v>13</v>
      </c>
      <c r="BF702" s="855">
        <f t="shared" si="52"/>
        <v>0.20634920634920634</v>
      </c>
      <c r="BG702" s="856">
        <f t="shared" si="53"/>
        <v>0.11842964073935201</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73"/>
      <c r="C703" s="1074"/>
      <c r="D703" s="1074"/>
      <c r="E703" s="1074"/>
      <c r="F703" s="1075"/>
      <c r="G703" s="1519"/>
      <c r="H703" s="1308"/>
      <c r="I703" s="1308"/>
      <c r="J703" s="1309"/>
      <c r="K703" s="1300"/>
      <c r="L703" s="1301"/>
      <c r="M703" s="1301"/>
      <c r="N703" s="1302"/>
      <c r="O703" s="1067"/>
      <c r="P703" s="1068"/>
      <c r="Q703" s="1068"/>
      <c r="R703" s="1068"/>
      <c r="S703" s="1069"/>
      <c r="T703" s="1070">
        <f t="shared" si="45"/>
        <v>0</v>
      </c>
      <c r="U703" s="1071"/>
      <c r="V703" s="1071"/>
      <c r="W703" s="1071"/>
      <c r="X703" s="1072"/>
      <c r="Y703" s="1067"/>
      <c r="Z703" s="1068"/>
      <c r="AA703" s="1068"/>
      <c r="AB703" s="1069"/>
      <c r="AC703" s="1070">
        <f t="shared" si="46"/>
        <v>0</v>
      </c>
      <c r="AD703" s="1071"/>
      <c r="AE703" s="1071"/>
      <c r="AF703" s="1071"/>
      <c r="AG703" s="1072"/>
      <c r="AH703" s="1304"/>
      <c r="AI703" s="1305"/>
      <c r="AJ703" s="1305"/>
      <c r="AK703" s="1305"/>
      <c r="AL703" s="1306"/>
      <c r="AM703" s="1064" t="str">
        <f t="shared" si="54"/>
        <v/>
      </c>
      <c r="AN703" s="1065"/>
      <c r="AO703" s="1066"/>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73"/>
      <c r="C704" s="1074"/>
      <c r="D704" s="1074"/>
      <c r="E704" s="1074"/>
      <c r="F704" s="1075"/>
      <c r="G704" s="1307"/>
      <c r="H704" s="1308"/>
      <c r="I704" s="1308"/>
      <c r="J704" s="1309"/>
      <c r="K704" s="1300"/>
      <c r="L704" s="1301"/>
      <c r="M704" s="1301"/>
      <c r="N704" s="1302"/>
      <c r="O704" s="1067"/>
      <c r="P704" s="1068"/>
      <c r="Q704" s="1068"/>
      <c r="R704" s="1068"/>
      <c r="S704" s="1069"/>
      <c r="T704" s="1070">
        <f t="shared" si="45"/>
        <v>0</v>
      </c>
      <c r="U704" s="1071"/>
      <c r="V704" s="1071"/>
      <c r="W704" s="1071"/>
      <c r="X704" s="1072"/>
      <c r="Y704" s="1067"/>
      <c r="Z704" s="1068"/>
      <c r="AA704" s="1068"/>
      <c r="AB704" s="1069"/>
      <c r="AC704" s="1070">
        <f t="shared" si="46"/>
        <v>0</v>
      </c>
      <c r="AD704" s="1071"/>
      <c r="AE704" s="1071"/>
      <c r="AF704" s="1071"/>
      <c r="AG704" s="1072"/>
      <c r="AH704" s="1304"/>
      <c r="AI704" s="1305"/>
      <c r="AJ704" s="1305"/>
      <c r="AK704" s="1305"/>
      <c r="AL704" s="1306"/>
      <c r="AM704" s="1064" t="str">
        <f t="shared" si="54"/>
        <v/>
      </c>
      <c r="AN704" s="1065"/>
      <c r="AO704" s="1066"/>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73"/>
      <c r="C705" s="1074"/>
      <c r="D705" s="1074"/>
      <c r="E705" s="1074"/>
      <c r="F705" s="1075"/>
      <c r="G705" s="1307"/>
      <c r="H705" s="1308"/>
      <c r="I705" s="1308"/>
      <c r="J705" s="1309"/>
      <c r="K705" s="1300"/>
      <c r="L705" s="1301"/>
      <c r="M705" s="1301"/>
      <c r="N705" s="1302"/>
      <c r="O705" s="1067"/>
      <c r="P705" s="1068"/>
      <c r="Q705" s="1068"/>
      <c r="R705" s="1068"/>
      <c r="S705" s="1069"/>
      <c r="T705" s="1070">
        <f t="shared" si="45"/>
        <v>0</v>
      </c>
      <c r="U705" s="1071"/>
      <c r="V705" s="1071"/>
      <c r="W705" s="1071"/>
      <c r="X705" s="1072"/>
      <c r="Y705" s="1067"/>
      <c r="Z705" s="1068"/>
      <c r="AA705" s="1068"/>
      <c r="AB705" s="1069"/>
      <c r="AC705" s="1070">
        <f t="shared" si="46"/>
        <v>0</v>
      </c>
      <c r="AD705" s="1071"/>
      <c r="AE705" s="1071"/>
      <c r="AF705" s="1071"/>
      <c r="AG705" s="1072"/>
      <c r="AH705" s="1304"/>
      <c r="AI705" s="1305"/>
      <c r="AJ705" s="1305"/>
      <c r="AK705" s="1305"/>
      <c r="AL705" s="1306"/>
      <c r="AM705" s="1064" t="str">
        <f t="shared" si="54"/>
        <v/>
      </c>
      <c r="AN705" s="1065"/>
      <c r="AO705" s="1066"/>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73"/>
      <c r="C706" s="1074"/>
      <c r="D706" s="1074"/>
      <c r="E706" s="1074"/>
      <c r="F706" s="1075"/>
      <c r="G706" s="1307"/>
      <c r="H706" s="1308"/>
      <c r="I706" s="1308"/>
      <c r="J706" s="1309"/>
      <c r="K706" s="1300"/>
      <c r="L706" s="1301"/>
      <c r="M706" s="1301"/>
      <c r="N706" s="1302"/>
      <c r="O706" s="1067"/>
      <c r="P706" s="1068"/>
      <c r="Q706" s="1068"/>
      <c r="R706" s="1068"/>
      <c r="S706" s="1069"/>
      <c r="T706" s="1070">
        <f t="shared" si="45"/>
        <v>0</v>
      </c>
      <c r="U706" s="1071"/>
      <c r="V706" s="1071"/>
      <c r="W706" s="1071"/>
      <c r="X706" s="1072"/>
      <c r="Y706" s="1067"/>
      <c r="Z706" s="1068"/>
      <c r="AA706" s="1068"/>
      <c r="AB706" s="1069"/>
      <c r="AC706" s="1070">
        <f t="shared" si="46"/>
        <v>0</v>
      </c>
      <c r="AD706" s="1071"/>
      <c r="AE706" s="1071"/>
      <c r="AF706" s="1071"/>
      <c r="AG706" s="1072"/>
      <c r="AH706" s="1304"/>
      <c r="AI706" s="1305"/>
      <c r="AJ706" s="1305"/>
      <c r="AK706" s="1305"/>
      <c r="AL706" s="1306"/>
      <c r="AM706" s="1064" t="str">
        <f t="shared" si="54"/>
        <v/>
      </c>
      <c r="AN706" s="1065"/>
      <c r="AO706" s="1066"/>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73"/>
      <c r="C707" s="1074"/>
      <c r="D707" s="1074"/>
      <c r="E707" s="1074"/>
      <c r="F707" s="1075"/>
      <c r="G707" s="1307"/>
      <c r="H707" s="1308"/>
      <c r="I707" s="1308"/>
      <c r="J707" s="1309"/>
      <c r="K707" s="1300"/>
      <c r="L707" s="1301"/>
      <c r="M707" s="1301"/>
      <c r="N707" s="1302"/>
      <c r="O707" s="1067"/>
      <c r="P707" s="1068"/>
      <c r="Q707" s="1068"/>
      <c r="R707" s="1068"/>
      <c r="S707" s="1069"/>
      <c r="T707" s="1070">
        <f t="shared" si="45"/>
        <v>0</v>
      </c>
      <c r="U707" s="1071"/>
      <c r="V707" s="1071"/>
      <c r="W707" s="1071"/>
      <c r="X707" s="1072"/>
      <c r="Y707" s="1067"/>
      <c r="Z707" s="1068"/>
      <c r="AA707" s="1068"/>
      <c r="AB707" s="1069"/>
      <c r="AC707" s="1070">
        <f t="shared" si="46"/>
        <v>0</v>
      </c>
      <c r="AD707" s="1071"/>
      <c r="AE707" s="1071"/>
      <c r="AF707" s="1071"/>
      <c r="AG707" s="1072"/>
      <c r="AH707" s="1304"/>
      <c r="AI707" s="1305"/>
      <c r="AJ707" s="1305"/>
      <c r="AK707" s="1305"/>
      <c r="AL707" s="1306"/>
      <c r="AM707" s="1064" t="str">
        <f t="shared" si="54"/>
        <v/>
      </c>
      <c r="AN707" s="1065"/>
      <c r="AO707" s="1066"/>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73"/>
      <c r="C708" s="1074"/>
      <c r="D708" s="1074"/>
      <c r="E708" s="1074"/>
      <c r="F708" s="1075"/>
      <c r="G708" s="1307"/>
      <c r="H708" s="1308"/>
      <c r="I708" s="1308"/>
      <c r="J708" s="1309"/>
      <c r="K708" s="1300"/>
      <c r="L708" s="1301"/>
      <c r="M708" s="1301"/>
      <c r="N708" s="1302"/>
      <c r="O708" s="1067"/>
      <c r="P708" s="1068"/>
      <c r="Q708" s="1068"/>
      <c r="R708" s="1068"/>
      <c r="S708" s="1069"/>
      <c r="T708" s="1070">
        <f t="shared" si="45"/>
        <v>0</v>
      </c>
      <c r="U708" s="1071"/>
      <c r="V708" s="1071"/>
      <c r="W708" s="1071"/>
      <c r="X708" s="1072"/>
      <c r="Y708" s="1067"/>
      <c r="Z708" s="1068"/>
      <c r="AA708" s="1068"/>
      <c r="AB708" s="1069"/>
      <c r="AC708" s="1070">
        <f t="shared" si="46"/>
        <v>0</v>
      </c>
      <c r="AD708" s="1071"/>
      <c r="AE708" s="1071"/>
      <c r="AF708" s="1071"/>
      <c r="AG708" s="1072"/>
      <c r="AH708" s="1304"/>
      <c r="AI708" s="1305"/>
      <c r="AJ708" s="1305"/>
      <c r="AK708" s="1305"/>
      <c r="AL708" s="1306"/>
      <c r="AM708" s="1064" t="str">
        <f t="shared" si="54"/>
        <v/>
      </c>
      <c r="AN708" s="1065"/>
      <c r="AO708" s="1066"/>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73"/>
      <c r="C709" s="1074"/>
      <c r="D709" s="1074"/>
      <c r="E709" s="1074"/>
      <c r="F709" s="1075"/>
      <c r="G709" s="1307"/>
      <c r="H709" s="1308"/>
      <c r="I709" s="1308"/>
      <c r="J709" s="1309"/>
      <c r="K709" s="1300"/>
      <c r="L709" s="1301"/>
      <c r="M709" s="1301"/>
      <c r="N709" s="1302"/>
      <c r="O709" s="1067"/>
      <c r="P709" s="1068"/>
      <c r="Q709" s="1068"/>
      <c r="R709" s="1068"/>
      <c r="S709" s="1069"/>
      <c r="T709" s="1070">
        <f t="shared" si="45"/>
        <v>0</v>
      </c>
      <c r="U709" s="1071"/>
      <c r="V709" s="1071"/>
      <c r="W709" s="1071"/>
      <c r="X709" s="1072"/>
      <c r="Y709" s="1067"/>
      <c r="Z709" s="1068"/>
      <c r="AA709" s="1068"/>
      <c r="AB709" s="1069"/>
      <c r="AC709" s="1070">
        <f t="shared" si="46"/>
        <v>0</v>
      </c>
      <c r="AD709" s="1071"/>
      <c r="AE709" s="1071"/>
      <c r="AF709" s="1071"/>
      <c r="AG709" s="1072"/>
      <c r="AH709" s="1304"/>
      <c r="AI709" s="1305"/>
      <c r="AJ709" s="1305"/>
      <c r="AK709" s="1305"/>
      <c r="AL709" s="1306"/>
      <c r="AM709" s="1064" t="str">
        <f t="shared" si="54"/>
        <v/>
      </c>
      <c r="AN709" s="1065"/>
      <c r="AO709" s="1066"/>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73"/>
      <c r="C710" s="1074"/>
      <c r="D710" s="1074"/>
      <c r="E710" s="1074"/>
      <c r="F710" s="1075"/>
      <c r="G710" s="1307"/>
      <c r="H710" s="1308"/>
      <c r="I710" s="1308"/>
      <c r="J710" s="1309"/>
      <c r="K710" s="1300"/>
      <c r="L710" s="1301"/>
      <c r="M710" s="1301"/>
      <c r="N710" s="1302"/>
      <c r="O710" s="1067"/>
      <c r="P710" s="1068"/>
      <c r="Q710" s="1068"/>
      <c r="R710" s="1068"/>
      <c r="S710" s="1069"/>
      <c r="T710" s="1070">
        <f t="shared" si="45"/>
        <v>0</v>
      </c>
      <c r="U710" s="1071"/>
      <c r="V710" s="1071"/>
      <c r="W710" s="1071"/>
      <c r="X710" s="1072"/>
      <c r="Y710" s="1067"/>
      <c r="Z710" s="1068"/>
      <c r="AA710" s="1068"/>
      <c r="AB710" s="1069"/>
      <c r="AC710" s="1070">
        <f t="shared" si="46"/>
        <v>0</v>
      </c>
      <c r="AD710" s="1071"/>
      <c r="AE710" s="1071"/>
      <c r="AF710" s="1071"/>
      <c r="AG710" s="1072"/>
      <c r="AH710" s="1304"/>
      <c r="AI710" s="1305"/>
      <c r="AJ710" s="1305"/>
      <c r="AK710" s="1305"/>
      <c r="AL710" s="1306"/>
      <c r="AM710" s="1064" t="str">
        <f t="shared" si="54"/>
        <v/>
      </c>
      <c r="AN710" s="1065"/>
      <c r="AO710" s="1066"/>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73"/>
      <c r="C711" s="1074"/>
      <c r="D711" s="1074"/>
      <c r="E711" s="1074"/>
      <c r="F711" s="1075"/>
      <c r="G711" s="1307"/>
      <c r="H711" s="1308"/>
      <c r="I711" s="1308"/>
      <c r="J711" s="1309"/>
      <c r="K711" s="1300"/>
      <c r="L711" s="1301"/>
      <c r="M711" s="1301"/>
      <c r="N711" s="1302"/>
      <c r="O711" s="1067"/>
      <c r="P711" s="1068"/>
      <c r="Q711" s="1068"/>
      <c r="R711" s="1068"/>
      <c r="S711" s="1069"/>
      <c r="T711" s="1070">
        <f t="shared" si="45"/>
        <v>0</v>
      </c>
      <c r="U711" s="1071"/>
      <c r="V711" s="1071"/>
      <c r="W711" s="1071"/>
      <c r="X711" s="1072"/>
      <c r="Y711" s="1067"/>
      <c r="Z711" s="1068"/>
      <c r="AA711" s="1068"/>
      <c r="AB711" s="1069"/>
      <c r="AC711" s="1070">
        <f t="shared" si="46"/>
        <v>0</v>
      </c>
      <c r="AD711" s="1071"/>
      <c r="AE711" s="1071"/>
      <c r="AF711" s="1071"/>
      <c r="AG711" s="1072"/>
      <c r="AH711" s="1304"/>
      <c r="AI711" s="1305"/>
      <c r="AJ711" s="1305"/>
      <c r="AK711" s="1305"/>
      <c r="AL711" s="1306"/>
      <c r="AM711" s="1064" t="str">
        <f t="shared" si="54"/>
        <v/>
      </c>
      <c r="AN711" s="1065"/>
      <c r="AO711" s="1066"/>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73"/>
      <c r="C712" s="1074"/>
      <c r="D712" s="1074"/>
      <c r="E712" s="1074"/>
      <c r="F712" s="1075"/>
      <c r="G712" s="1307"/>
      <c r="H712" s="1308"/>
      <c r="I712" s="1308"/>
      <c r="J712" s="1309"/>
      <c r="K712" s="1300"/>
      <c r="L712" s="1301"/>
      <c r="M712" s="1301"/>
      <c r="N712" s="1302"/>
      <c r="O712" s="1067"/>
      <c r="P712" s="1068"/>
      <c r="Q712" s="1068"/>
      <c r="R712" s="1068"/>
      <c r="S712" s="1069"/>
      <c r="T712" s="1070">
        <f t="shared" si="45"/>
        <v>0</v>
      </c>
      <c r="U712" s="1071"/>
      <c r="V712" s="1071"/>
      <c r="W712" s="1071"/>
      <c r="X712" s="1072"/>
      <c r="Y712" s="1067"/>
      <c r="Z712" s="1068"/>
      <c r="AA712" s="1068"/>
      <c r="AB712" s="1069"/>
      <c r="AC712" s="1070">
        <f t="shared" si="46"/>
        <v>0</v>
      </c>
      <c r="AD712" s="1071"/>
      <c r="AE712" s="1071"/>
      <c r="AF712" s="1071"/>
      <c r="AG712" s="1072"/>
      <c r="AH712" s="1304"/>
      <c r="AI712" s="1305"/>
      <c r="AJ712" s="1305"/>
      <c r="AK712" s="1305"/>
      <c r="AL712" s="1306"/>
      <c r="AM712" s="1064" t="str">
        <f t="shared" si="54"/>
        <v/>
      </c>
      <c r="AN712" s="1065"/>
      <c r="AO712" s="1066"/>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73"/>
      <c r="C713" s="1074"/>
      <c r="D713" s="1074"/>
      <c r="E713" s="1074"/>
      <c r="F713" s="1075"/>
      <c r="G713" s="1307"/>
      <c r="H713" s="1308"/>
      <c r="I713" s="1308"/>
      <c r="J713" s="1309"/>
      <c r="K713" s="1300"/>
      <c r="L713" s="1301"/>
      <c r="M713" s="1301"/>
      <c r="N713" s="1302"/>
      <c r="O713" s="1067"/>
      <c r="P713" s="1068"/>
      <c r="Q713" s="1068"/>
      <c r="R713" s="1068"/>
      <c r="S713" s="1069"/>
      <c r="T713" s="1070">
        <f t="shared" si="45"/>
        <v>0</v>
      </c>
      <c r="U713" s="1071"/>
      <c r="V713" s="1071"/>
      <c r="W713" s="1071"/>
      <c r="X713" s="1072"/>
      <c r="Y713" s="1067"/>
      <c r="Z713" s="1068"/>
      <c r="AA713" s="1068"/>
      <c r="AB713" s="1069"/>
      <c r="AC713" s="1070">
        <f t="shared" si="46"/>
        <v>0</v>
      </c>
      <c r="AD713" s="1071"/>
      <c r="AE713" s="1071"/>
      <c r="AF713" s="1071"/>
      <c r="AG713" s="1072"/>
      <c r="AH713" s="1304"/>
      <c r="AI713" s="1305"/>
      <c r="AJ713" s="1305"/>
      <c r="AK713" s="1305"/>
      <c r="AL713" s="1306"/>
      <c r="AM713" s="1064" t="str">
        <f t="shared" si="54"/>
        <v/>
      </c>
      <c r="AN713" s="1065"/>
      <c r="AO713" s="1066"/>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73"/>
      <c r="C714" s="1074"/>
      <c r="D714" s="1074"/>
      <c r="E714" s="1074"/>
      <c r="F714" s="1075"/>
      <c r="G714" s="1307"/>
      <c r="H714" s="1308"/>
      <c r="I714" s="1308"/>
      <c r="J714" s="1309"/>
      <c r="K714" s="1300"/>
      <c r="L714" s="1301"/>
      <c r="M714" s="1301"/>
      <c r="N714" s="1302"/>
      <c r="O714" s="1067"/>
      <c r="P714" s="1068"/>
      <c r="Q714" s="1068"/>
      <c r="R714" s="1068"/>
      <c r="S714" s="1069"/>
      <c r="T714" s="1070">
        <f t="shared" si="45"/>
        <v>0</v>
      </c>
      <c r="U714" s="1071"/>
      <c r="V714" s="1071"/>
      <c r="W714" s="1071"/>
      <c r="X714" s="1072"/>
      <c r="Y714" s="1067"/>
      <c r="Z714" s="1068"/>
      <c r="AA714" s="1068"/>
      <c r="AB714" s="1069"/>
      <c r="AC714" s="1070">
        <f t="shared" si="46"/>
        <v>0</v>
      </c>
      <c r="AD714" s="1071"/>
      <c r="AE714" s="1071"/>
      <c r="AF714" s="1071"/>
      <c r="AG714" s="1072"/>
      <c r="AH714" s="1304"/>
      <c r="AI714" s="1305"/>
      <c r="AJ714" s="1305"/>
      <c r="AK714" s="1305"/>
      <c r="AL714" s="1306"/>
      <c r="AM714" s="1064" t="str">
        <f t="shared" si="54"/>
        <v/>
      </c>
      <c r="AN714" s="1065"/>
      <c r="AO714" s="1066"/>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73"/>
      <c r="C715" s="1074"/>
      <c r="D715" s="1074"/>
      <c r="E715" s="1074"/>
      <c r="F715" s="1075"/>
      <c r="G715" s="1307"/>
      <c r="H715" s="1308"/>
      <c r="I715" s="1308"/>
      <c r="J715" s="1309"/>
      <c r="K715" s="1300"/>
      <c r="L715" s="1301"/>
      <c r="M715" s="1301"/>
      <c r="N715" s="1302"/>
      <c r="O715" s="1067"/>
      <c r="P715" s="1068"/>
      <c r="Q715" s="1068"/>
      <c r="R715" s="1068"/>
      <c r="S715" s="1069"/>
      <c r="T715" s="1070">
        <f t="shared" si="45"/>
        <v>0</v>
      </c>
      <c r="U715" s="1071"/>
      <c r="V715" s="1071"/>
      <c r="W715" s="1071"/>
      <c r="X715" s="1072"/>
      <c r="Y715" s="1067"/>
      <c r="Z715" s="1068"/>
      <c r="AA715" s="1068"/>
      <c r="AB715" s="1069"/>
      <c r="AC715" s="1070">
        <f t="shared" si="46"/>
        <v>0</v>
      </c>
      <c r="AD715" s="1071"/>
      <c r="AE715" s="1071"/>
      <c r="AF715" s="1071"/>
      <c r="AG715" s="1072"/>
      <c r="AH715" s="1304"/>
      <c r="AI715" s="1305"/>
      <c r="AJ715" s="1305"/>
      <c r="AK715" s="1305"/>
      <c r="AL715" s="1306"/>
      <c r="AM715" s="1064" t="str">
        <f t="shared" si="54"/>
        <v/>
      </c>
      <c r="AN715" s="1065"/>
      <c r="AO715" s="1066"/>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73"/>
      <c r="C716" s="1074"/>
      <c r="D716" s="1074"/>
      <c r="E716" s="1074"/>
      <c r="F716" s="1075"/>
      <c r="G716" s="1307"/>
      <c r="H716" s="1308"/>
      <c r="I716" s="1308"/>
      <c r="J716" s="1309"/>
      <c r="K716" s="1300"/>
      <c r="L716" s="1301"/>
      <c r="M716" s="1301"/>
      <c r="N716" s="1302"/>
      <c r="O716" s="1067"/>
      <c r="P716" s="1068"/>
      <c r="Q716" s="1068"/>
      <c r="R716" s="1068"/>
      <c r="S716" s="1069"/>
      <c r="T716" s="1070">
        <f t="shared" si="45"/>
        <v>0</v>
      </c>
      <c r="U716" s="1071"/>
      <c r="V716" s="1071"/>
      <c r="W716" s="1071"/>
      <c r="X716" s="1072"/>
      <c r="Y716" s="1067"/>
      <c r="Z716" s="1068"/>
      <c r="AA716" s="1068"/>
      <c r="AB716" s="1069"/>
      <c r="AC716" s="1070">
        <f t="shared" si="46"/>
        <v>0</v>
      </c>
      <c r="AD716" s="1071"/>
      <c r="AE716" s="1071"/>
      <c r="AF716" s="1071"/>
      <c r="AG716" s="1072"/>
      <c r="AH716" s="1304"/>
      <c r="AI716" s="1305"/>
      <c r="AJ716" s="1305"/>
      <c r="AK716" s="1305"/>
      <c r="AL716" s="1306"/>
      <c r="AM716" s="1064" t="str">
        <f t="shared" si="54"/>
        <v/>
      </c>
      <c r="AN716" s="1065"/>
      <c r="AO716" s="1066"/>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73"/>
      <c r="C717" s="1074"/>
      <c r="D717" s="1074"/>
      <c r="E717" s="1074"/>
      <c r="F717" s="1075"/>
      <c r="G717" s="1307"/>
      <c r="H717" s="1308"/>
      <c r="I717" s="1308"/>
      <c r="J717" s="1309"/>
      <c r="K717" s="1300"/>
      <c r="L717" s="1301"/>
      <c r="M717" s="1301"/>
      <c r="N717" s="1302"/>
      <c r="O717" s="1067"/>
      <c r="P717" s="1068"/>
      <c r="Q717" s="1068"/>
      <c r="R717" s="1068"/>
      <c r="S717" s="1069"/>
      <c r="T717" s="1070">
        <f t="shared" si="45"/>
        <v>0</v>
      </c>
      <c r="U717" s="1071"/>
      <c r="V717" s="1071"/>
      <c r="W717" s="1071"/>
      <c r="X717" s="1072"/>
      <c r="Y717" s="1067"/>
      <c r="Z717" s="1068"/>
      <c r="AA717" s="1068"/>
      <c r="AB717" s="1069"/>
      <c r="AC717" s="1070">
        <f t="shared" si="46"/>
        <v>0</v>
      </c>
      <c r="AD717" s="1071"/>
      <c r="AE717" s="1071"/>
      <c r="AF717" s="1071"/>
      <c r="AG717" s="1072"/>
      <c r="AH717" s="1304"/>
      <c r="AI717" s="1305"/>
      <c r="AJ717" s="1305"/>
      <c r="AK717" s="1305"/>
      <c r="AL717" s="1306"/>
      <c r="AM717" s="1064" t="str">
        <f t="shared" si="54"/>
        <v/>
      </c>
      <c r="AN717" s="1065"/>
      <c r="AO717" s="1066"/>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73"/>
      <c r="C718" s="1074"/>
      <c r="D718" s="1074"/>
      <c r="E718" s="1074"/>
      <c r="F718" s="1075"/>
      <c r="G718" s="1307"/>
      <c r="H718" s="1308"/>
      <c r="I718" s="1308"/>
      <c r="J718" s="1309"/>
      <c r="K718" s="1300"/>
      <c r="L718" s="1301"/>
      <c r="M718" s="1301"/>
      <c r="N718" s="1302"/>
      <c r="O718" s="1067"/>
      <c r="P718" s="1068"/>
      <c r="Q718" s="1068"/>
      <c r="R718" s="1068"/>
      <c r="S718" s="1069"/>
      <c r="T718" s="1070">
        <f t="shared" si="45"/>
        <v>0</v>
      </c>
      <c r="U718" s="1071"/>
      <c r="V718" s="1071"/>
      <c r="W718" s="1071"/>
      <c r="X718" s="1072"/>
      <c r="Y718" s="1067"/>
      <c r="Z718" s="1068"/>
      <c r="AA718" s="1068"/>
      <c r="AB718" s="1069"/>
      <c r="AC718" s="1070">
        <f t="shared" si="46"/>
        <v>0</v>
      </c>
      <c r="AD718" s="1071"/>
      <c r="AE718" s="1071"/>
      <c r="AF718" s="1071"/>
      <c r="AG718" s="1072"/>
      <c r="AH718" s="1304"/>
      <c r="AI718" s="1305"/>
      <c r="AJ718" s="1305"/>
      <c r="AK718" s="1305"/>
      <c r="AL718" s="1306"/>
      <c r="AM718" s="1064" t="str">
        <f t="shared" si="54"/>
        <v/>
      </c>
      <c r="AN718" s="1065"/>
      <c r="AO718" s="1066"/>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73"/>
      <c r="C719" s="1074"/>
      <c r="D719" s="1074"/>
      <c r="E719" s="1074"/>
      <c r="F719" s="1075"/>
      <c r="G719" s="1307"/>
      <c r="H719" s="1308"/>
      <c r="I719" s="1308"/>
      <c r="J719" s="1309"/>
      <c r="K719" s="1300"/>
      <c r="L719" s="1301"/>
      <c r="M719" s="1301"/>
      <c r="N719" s="1302"/>
      <c r="O719" s="1067"/>
      <c r="P719" s="1068"/>
      <c r="Q719" s="1068"/>
      <c r="R719" s="1068"/>
      <c r="S719" s="1069"/>
      <c r="T719" s="1070">
        <f t="shared" ref="T719:T728" si="55">G719*O719</f>
        <v>0</v>
      </c>
      <c r="U719" s="1071"/>
      <c r="V719" s="1071"/>
      <c r="W719" s="1071"/>
      <c r="X719" s="1072"/>
      <c r="Y719" s="1067"/>
      <c r="Z719" s="1068"/>
      <c r="AA719" s="1068"/>
      <c r="AB719" s="1069"/>
      <c r="AC719" s="1070">
        <f t="shared" ref="AC719:AC728" si="56">O719+Y719</f>
        <v>0</v>
      </c>
      <c r="AD719" s="1071"/>
      <c r="AE719" s="1071"/>
      <c r="AF719" s="1071"/>
      <c r="AG719" s="1072"/>
      <c r="AH719" s="1304"/>
      <c r="AI719" s="1305"/>
      <c r="AJ719" s="1305"/>
      <c r="AK719" s="1305"/>
      <c r="AL719" s="1306"/>
      <c r="AM719" s="1064" t="str">
        <f t="shared" ref="AM719:AM728" si="57">IF($AH719&gt;0,($AC719/$AV719), "")</f>
        <v/>
      </c>
      <c r="AN719" s="1065"/>
      <c r="AO719" s="106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73"/>
      <c r="C720" s="1074"/>
      <c r="D720" s="1074"/>
      <c r="E720" s="1074"/>
      <c r="F720" s="1075"/>
      <c r="G720" s="1307"/>
      <c r="H720" s="1308"/>
      <c r="I720" s="1308"/>
      <c r="J720" s="1309"/>
      <c r="K720" s="1300"/>
      <c r="L720" s="1301"/>
      <c r="M720" s="1301"/>
      <c r="N720" s="1302"/>
      <c r="O720" s="1067"/>
      <c r="P720" s="1068"/>
      <c r="Q720" s="1068"/>
      <c r="R720" s="1068"/>
      <c r="S720" s="1069"/>
      <c r="T720" s="1070">
        <f t="shared" si="55"/>
        <v>0</v>
      </c>
      <c r="U720" s="1071"/>
      <c r="V720" s="1071"/>
      <c r="W720" s="1071"/>
      <c r="X720" s="1072"/>
      <c r="Y720" s="1067"/>
      <c r="Z720" s="1068"/>
      <c r="AA720" s="1068"/>
      <c r="AB720" s="1069"/>
      <c r="AC720" s="1070">
        <f t="shared" si="56"/>
        <v>0</v>
      </c>
      <c r="AD720" s="1071"/>
      <c r="AE720" s="1071"/>
      <c r="AF720" s="1071"/>
      <c r="AG720" s="1072"/>
      <c r="AH720" s="1304"/>
      <c r="AI720" s="1305"/>
      <c r="AJ720" s="1305"/>
      <c r="AK720" s="1305"/>
      <c r="AL720" s="1306"/>
      <c r="AM720" s="1064" t="str">
        <f t="shared" si="57"/>
        <v/>
      </c>
      <c r="AN720" s="1065"/>
      <c r="AO720" s="1066"/>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73"/>
      <c r="C721" s="1074"/>
      <c r="D721" s="1074"/>
      <c r="E721" s="1074"/>
      <c r="F721" s="1075"/>
      <c r="G721" s="1307"/>
      <c r="H721" s="1308"/>
      <c r="I721" s="1308"/>
      <c r="J721" s="1309"/>
      <c r="K721" s="1300"/>
      <c r="L721" s="1301"/>
      <c r="M721" s="1301"/>
      <c r="N721" s="1302"/>
      <c r="O721" s="1067"/>
      <c r="P721" s="1068"/>
      <c r="Q721" s="1068"/>
      <c r="R721" s="1068"/>
      <c r="S721" s="1069"/>
      <c r="T721" s="1070">
        <f t="shared" si="55"/>
        <v>0</v>
      </c>
      <c r="U721" s="1071"/>
      <c r="V721" s="1071"/>
      <c r="W721" s="1071"/>
      <c r="X721" s="1072"/>
      <c r="Y721" s="1067"/>
      <c r="Z721" s="1068"/>
      <c r="AA721" s="1068"/>
      <c r="AB721" s="1069"/>
      <c r="AC721" s="1070">
        <f t="shared" si="56"/>
        <v>0</v>
      </c>
      <c r="AD721" s="1071"/>
      <c r="AE721" s="1071"/>
      <c r="AF721" s="1071"/>
      <c r="AG721" s="1072"/>
      <c r="AH721" s="1304"/>
      <c r="AI721" s="1305"/>
      <c r="AJ721" s="1305"/>
      <c r="AK721" s="1305"/>
      <c r="AL721" s="1306"/>
      <c r="AM721" s="1064" t="str">
        <f t="shared" si="57"/>
        <v/>
      </c>
      <c r="AN721" s="1065"/>
      <c r="AO721" s="1066"/>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73"/>
      <c r="C722" s="1074"/>
      <c r="D722" s="1074"/>
      <c r="E722" s="1074"/>
      <c r="F722" s="1075"/>
      <c r="G722" s="1307"/>
      <c r="H722" s="1308"/>
      <c r="I722" s="1308"/>
      <c r="J722" s="1309"/>
      <c r="K722" s="1300"/>
      <c r="L722" s="1301"/>
      <c r="M722" s="1301"/>
      <c r="N722" s="1302"/>
      <c r="O722" s="1067"/>
      <c r="P722" s="1068"/>
      <c r="Q722" s="1068"/>
      <c r="R722" s="1068"/>
      <c r="S722" s="1069"/>
      <c r="T722" s="1070">
        <f t="shared" si="55"/>
        <v>0</v>
      </c>
      <c r="U722" s="1071"/>
      <c r="V722" s="1071"/>
      <c r="W722" s="1071"/>
      <c r="X722" s="1072"/>
      <c r="Y722" s="1067"/>
      <c r="Z722" s="1068"/>
      <c r="AA722" s="1068"/>
      <c r="AB722" s="1069"/>
      <c r="AC722" s="1070">
        <f t="shared" si="56"/>
        <v>0</v>
      </c>
      <c r="AD722" s="1071"/>
      <c r="AE722" s="1071"/>
      <c r="AF722" s="1071"/>
      <c r="AG722" s="1072"/>
      <c r="AH722" s="1304"/>
      <c r="AI722" s="1305"/>
      <c r="AJ722" s="1305"/>
      <c r="AK722" s="1305"/>
      <c r="AL722" s="1306"/>
      <c r="AM722" s="1064" t="str">
        <f t="shared" si="57"/>
        <v/>
      </c>
      <c r="AN722" s="1065"/>
      <c r="AO722" s="1066"/>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73"/>
      <c r="C723" s="1074"/>
      <c r="D723" s="1074"/>
      <c r="E723" s="1074"/>
      <c r="F723" s="1075"/>
      <c r="G723" s="1307"/>
      <c r="H723" s="1308"/>
      <c r="I723" s="1308"/>
      <c r="J723" s="1309"/>
      <c r="K723" s="1300"/>
      <c r="L723" s="1301"/>
      <c r="M723" s="1301"/>
      <c r="N723" s="1302"/>
      <c r="O723" s="1067"/>
      <c r="P723" s="1068"/>
      <c r="Q723" s="1068"/>
      <c r="R723" s="1068"/>
      <c r="S723" s="1069"/>
      <c r="T723" s="1070">
        <f t="shared" si="55"/>
        <v>0</v>
      </c>
      <c r="U723" s="1071"/>
      <c r="V723" s="1071"/>
      <c r="W723" s="1071"/>
      <c r="X723" s="1072"/>
      <c r="Y723" s="1067"/>
      <c r="Z723" s="1068"/>
      <c r="AA723" s="1068"/>
      <c r="AB723" s="1069"/>
      <c r="AC723" s="1070">
        <f t="shared" si="56"/>
        <v>0</v>
      </c>
      <c r="AD723" s="1071"/>
      <c r="AE723" s="1071"/>
      <c r="AF723" s="1071"/>
      <c r="AG723" s="1072"/>
      <c r="AH723" s="1304"/>
      <c r="AI723" s="1305"/>
      <c r="AJ723" s="1305"/>
      <c r="AK723" s="1305"/>
      <c r="AL723" s="1306"/>
      <c r="AM723" s="1064" t="str">
        <f t="shared" si="57"/>
        <v/>
      </c>
      <c r="AN723" s="1065"/>
      <c r="AO723" s="1066"/>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73"/>
      <c r="C724" s="1074"/>
      <c r="D724" s="1074"/>
      <c r="E724" s="1074"/>
      <c r="F724" s="1075"/>
      <c r="G724" s="1307"/>
      <c r="H724" s="1308"/>
      <c r="I724" s="1308"/>
      <c r="J724" s="1309"/>
      <c r="K724" s="1300"/>
      <c r="L724" s="1301"/>
      <c r="M724" s="1301"/>
      <c r="N724" s="1302"/>
      <c r="O724" s="1067"/>
      <c r="P724" s="1068"/>
      <c r="Q724" s="1068"/>
      <c r="R724" s="1068"/>
      <c r="S724" s="1069"/>
      <c r="T724" s="1070">
        <f t="shared" si="55"/>
        <v>0</v>
      </c>
      <c r="U724" s="1071"/>
      <c r="V724" s="1071"/>
      <c r="W724" s="1071"/>
      <c r="X724" s="1072"/>
      <c r="Y724" s="1067"/>
      <c r="Z724" s="1068"/>
      <c r="AA724" s="1068"/>
      <c r="AB724" s="1069"/>
      <c r="AC724" s="1070">
        <f t="shared" si="56"/>
        <v>0</v>
      </c>
      <c r="AD724" s="1071"/>
      <c r="AE724" s="1071"/>
      <c r="AF724" s="1071"/>
      <c r="AG724" s="1072"/>
      <c r="AH724" s="1304"/>
      <c r="AI724" s="1305"/>
      <c r="AJ724" s="1305"/>
      <c r="AK724" s="1305"/>
      <c r="AL724" s="1306"/>
      <c r="AM724" s="1064" t="str">
        <f t="shared" si="57"/>
        <v/>
      </c>
      <c r="AN724" s="1065"/>
      <c r="AO724" s="1066"/>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73"/>
      <c r="C725" s="1074"/>
      <c r="D725" s="1074"/>
      <c r="E725" s="1074"/>
      <c r="F725" s="1075"/>
      <c r="G725" s="1307"/>
      <c r="H725" s="1308"/>
      <c r="I725" s="1308"/>
      <c r="J725" s="1309"/>
      <c r="K725" s="1300"/>
      <c r="L725" s="1301"/>
      <c r="M725" s="1301"/>
      <c r="N725" s="1302"/>
      <c r="O725" s="1067"/>
      <c r="P725" s="1068"/>
      <c r="Q725" s="1068"/>
      <c r="R725" s="1068"/>
      <c r="S725" s="1069"/>
      <c r="T725" s="1070">
        <f t="shared" si="55"/>
        <v>0</v>
      </c>
      <c r="U725" s="1071"/>
      <c r="V725" s="1071"/>
      <c r="W725" s="1071"/>
      <c r="X725" s="1072"/>
      <c r="Y725" s="1067"/>
      <c r="Z725" s="1068"/>
      <c r="AA725" s="1068"/>
      <c r="AB725" s="1069"/>
      <c r="AC725" s="1070">
        <f t="shared" si="56"/>
        <v>0</v>
      </c>
      <c r="AD725" s="1071"/>
      <c r="AE725" s="1071"/>
      <c r="AF725" s="1071"/>
      <c r="AG725" s="1072"/>
      <c r="AH725" s="1304"/>
      <c r="AI725" s="1305"/>
      <c r="AJ725" s="1305"/>
      <c r="AK725" s="1305"/>
      <c r="AL725" s="1306"/>
      <c r="AM725" s="1064" t="str">
        <f t="shared" si="57"/>
        <v/>
      </c>
      <c r="AN725" s="1065"/>
      <c r="AO725" s="1066"/>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73"/>
      <c r="C726" s="1074"/>
      <c r="D726" s="1074"/>
      <c r="E726" s="1074"/>
      <c r="F726" s="1075"/>
      <c r="G726" s="1307"/>
      <c r="H726" s="1308"/>
      <c r="I726" s="1308"/>
      <c r="J726" s="1309"/>
      <c r="K726" s="1300"/>
      <c r="L726" s="1301"/>
      <c r="M726" s="1301"/>
      <c r="N726" s="1302"/>
      <c r="O726" s="1067"/>
      <c r="P726" s="1068"/>
      <c r="Q726" s="1068"/>
      <c r="R726" s="1068"/>
      <c r="S726" s="1069"/>
      <c r="T726" s="1070">
        <f t="shared" si="55"/>
        <v>0</v>
      </c>
      <c r="U726" s="1071"/>
      <c r="V726" s="1071"/>
      <c r="W726" s="1071"/>
      <c r="X726" s="1072"/>
      <c r="Y726" s="1067"/>
      <c r="Z726" s="1068"/>
      <c r="AA726" s="1068"/>
      <c r="AB726" s="1069"/>
      <c r="AC726" s="1070">
        <f t="shared" si="56"/>
        <v>0</v>
      </c>
      <c r="AD726" s="1071"/>
      <c r="AE726" s="1071"/>
      <c r="AF726" s="1071"/>
      <c r="AG726" s="1072"/>
      <c r="AH726" s="1304"/>
      <c r="AI726" s="1305"/>
      <c r="AJ726" s="1305"/>
      <c r="AK726" s="1305"/>
      <c r="AL726" s="1306"/>
      <c r="AM726" s="1064" t="str">
        <f t="shared" si="57"/>
        <v/>
      </c>
      <c r="AN726" s="1065"/>
      <c r="AO726" s="1066"/>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73"/>
      <c r="C727" s="1074"/>
      <c r="D727" s="1074"/>
      <c r="E727" s="1074"/>
      <c r="F727" s="1075"/>
      <c r="G727" s="1307"/>
      <c r="H727" s="1308"/>
      <c r="I727" s="1308"/>
      <c r="J727" s="1309"/>
      <c r="K727" s="1300"/>
      <c r="L727" s="1301"/>
      <c r="M727" s="1301"/>
      <c r="N727" s="1302"/>
      <c r="O727" s="1067"/>
      <c r="P727" s="1068"/>
      <c r="Q727" s="1068"/>
      <c r="R727" s="1068"/>
      <c r="S727" s="1069"/>
      <c r="T727" s="1070">
        <f t="shared" si="55"/>
        <v>0</v>
      </c>
      <c r="U727" s="1071"/>
      <c r="V727" s="1071"/>
      <c r="W727" s="1071"/>
      <c r="X727" s="1072"/>
      <c r="Y727" s="1067"/>
      <c r="Z727" s="1068"/>
      <c r="AA727" s="1068"/>
      <c r="AB727" s="1069"/>
      <c r="AC727" s="1070">
        <f t="shared" si="56"/>
        <v>0</v>
      </c>
      <c r="AD727" s="1071"/>
      <c r="AE727" s="1071"/>
      <c r="AF727" s="1071"/>
      <c r="AG727" s="1072"/>
      <c r="AH727" s="1304"/>
      <c r="AI727" s="1305"/>
      <c r="AJ727" s="1305"/>
      <c r="AK727" s="1305"/>
      <c r="AL727" s="1306"/>
      <c r="AM727" s="1064" t="str">
        <f t="shared" si="57"/>
        <v/>
      </c>
      <c r="AN727" s="1065"/>
      <c r="AO727" s="1066"/>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73"/>
      <c r="C728" s="1074"/>
      <c r="D728" s="1074"/>
      <c r="E728" s="1074"/>
      <c r="F728" s="1075"/>
      <c r="G728" s="1307"/>
      <c r="H728" s="1308"/>
      <c r="I728" s="1308"/>
      <c r="J728" s="1309"/>
      <c r="K728" s="1300"/>
      <c r="L728" s="1301"/>
      <c r="M728" s="1301"/>
      <c r="N728" s="1302"/>
      <c r="O728" s="1067"/>
      <c r="P728" s="1068"/>
      <c r="Q728" s="1068"/>
      <c r="R728" s="1068"/>
      <c r="S728" s="1069"/>
      <c r="T728" s="1070">
        <f t="shared" si="55"/>
        <v>0</v>
      </c>
      <c r="U728" s="1071"/>
      <c r="V728" s="1071"/>
      <c r="W728" s="1071"/>
      <c r="X728" s="1072"/>
      <c r="Y728" s="1067"/>
      <c r="Z728" s="1068"/>
      <c r="AA728" s="1068"/>
      <c r="AB728" s="1069"/>
      <c r="AC728" s="1070">
        <f t="shared" si="56"/>
        <v>0</v>
      </c>
      <c r="AD728" s="1071"/>
      <c r="AE728" s="1071"/>
      <c r="AF728" s="1071"/>
      <c r="AG728" s="1072"/>
      <c r="AH728" s="1304"/>
      <c r="AI728" s="1305"/>
      <c r="AJ728" s="1305"/>
      <c r="AK728" s="1305"/>
      <c r="AL728" s="1306"/>
      <c r="AM728" s="1064" t="str">
        <f t="shared" si="57"/>
        <v/>
      </c>
      <c r="AN728" s="1065"/>
      <c r="AO728" s="1066"/>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73"/>
      <c r="C729" s="1074"/>
      <c r="D729" s="1074"/>
      <c r="E729" s="1074"/>
      <c r="F729" s="1075"/>
      <c r="G729" s="1307"/>
      <c r="H729" s="1308"/>
      <c r="I729" s="1308"/>
      <c r="J729" s="1309"/>
      <c r="K729" s="1300"/>
      <c r="L729" s="1301"/>
      <c r="M729" s="1301"/>
      <c r="N729" s="1302"/>
      <c r="O729" s="1067"/>
      <c r="P729" s="1068"/>
      <c r="Q729" s="1068"/>
      <c r="R729" s="1068"/>
      <c r="S729" s="1069"/>
      <c r="T729" s="1070">
        <f t="shared" si="45"/>
        <v>0</v>
      </c>
      <c r="U729" s="1071"/>
      <c r="V729" s="1071"/>
      <c r="W729" s="1071"/>
      <c r="X729" s="1072"/>
      <c r="Y729" s="1067"/>
      <c r="Z729" s="1068"/>
      <c r="AA729" s="1068"/>
      <c r="AB729" s="1069"/>
      <c r="AC729" s="1070">
        <f t="shared" si="46"/>
        <v>0</v>
      </c>
      <c r="AD729" s="1071"/>
      <c r="AE729" s="1071"/>
      <c r="AF729" s="1071"/>
      <c r="AG729" s="1072"/>
      <c r="AH729" s="1304"/>
      <c r="AI729" s="1305"/>
      <c r="AJ729" s="1305"/>
      <c r="AK729" s="1305"/>
      <c r="AL729" s="1306"/>
      <c r="AM729" s="1064" t="str">
        <f>IF($AH729&gt;0,($AC729/$AV729), "")</f>
        <v/>
      </c>
      <c r="AN729" s="1065"/>
      <c r="AO729" s="1066"/>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61" t="s">
        <v>877</v>
      </c>
      <c r="C730" s="1062"/>
      <c r="D730" s="1062"/>
      <c r="E730" s="1062"/>
      <c r="F730" s="1063"/>
      <c r="G730" s="1521">
        <f>SUM(G695:J729)</f>
        <v>63</v>
      </c>
      <c r="H730" s="1522"/>
      <c r="I730" s="1522"/>
      <c r="J730" s="1523"/>
      <c r="O730" s="430" t="s">
        <v>876</v>
      </c>
      <c r="P730" s="168"/>
      <c r="Q730" s="168"/>
      <c r="R730" s="168"/>
      <c r="S730" s="842"/>
      <c r="T730" s="1070">
        <f>SUM(T695:X729)</f>
        <v>62929</v>
      </c>
      <c r="U730" s="1071"/>
      <c r="V730" s="1071"/>
      <c r="W730" s="1071"/>
      <c r="X730" s="1072"/>
      <c r="AC730" s="843" t="s">
        <v>1139</v>
      </c>
      <c r="AD730" s="844"/>
      <c r="AE730" s="844"/>
      <c r="AF730" s="844"/>
      <c r="AG730" s="845"/>
      <c r="AH730" s="1288">
        <f>BA730</f>
        <v>0.48095238095238091</v>
      </c>
      <c r="AI730" s="1289"/>
      <c r="AJ730" s="1289"/>
      <c r="AK730" s="1289"/>
      <c r="AL730" s="1290"/>
      <c r="AM730" s="1288">
        <f>IFERROR(BG730,0)</f>
        <v>0.47384948093609514</v>
      </c>
      <c r="AN730" s="1289"/>
      <c r="AO730" s="1290"/>
      <c r="AX730" s="62" t="s">
        <v>875</v>
      </c>
      <c r="AY730" s="454">
        <f>SUM(AY695:AY729)</f>
        <v>63</v>
      </c>
      <c r="AZ730" s="455">
        <f>SUM(AZ695:AZ729)</f>
        <v>1</v>
      </c>
      <c r="BA730" s="455">
        <f>SUM(BA695:BA729)</f>
        <v>0.48095238095238091</v>
      </c>
      <c r="BB730" s="41"/>
      <c r="BC730" s="41"/>
      <c r="BD730" s="41"/>
      <c r="BE730" s="852">
        <f>SUM(BE695:BE729)</f>
        <v>63</v>
      </c>
      <c r="BF730" s="853">
        <f>SUM(BF695:BF729)</f>
        <v>1</v>
      </c>
      <c r="BG730" s="853">
        <f>SUM(BG695:BG729)</f>
        <v>0.47384948093609514</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90" t="s">
        <v>2059</v>
      </c>
      <c r="D731" s="1490"/>
      <c r="E731" s="1490"/>
      <c r="F731" s="1490"/>
      <c r="G731" s="1490"/>
      <c r="H731" s="1490"/>
      <c r="I731" s="1490"/>
      <c r="J731" s="1490"/>
      <c r="K731" s="1490"/>
      <c r="L731" s="1490"/>
      <c r="M731" s="1490"/>
      <c r="N731" s="1490"/>
      <c r="O731" s="1490"/>
      <c r="P731" s="1490"/>
      <c r="Q731" s="1490"/>
      <c r="R731" s="1490"/>
      <c r="S731" s="1490"/>
      <c r="T731" s="1490"/>
      <c r="U731" s="1490"/>
      <c r="V731" s="1490"/>
      <c r="W731" s="1490"/>
      <c r="X731" s="1490"/>
      <c r="Y731" s="1490"/>
      <c r="Z731" s="1490"/>
      <c r="AA731" s="1490"/>
      <c r="AB731" s="1490"/>
      <c r="AC731" s="1490"/>
      <c r="AD731" s="1490"/>
      <c r="AE731" s="1490"/>
      <c r="AF731" s="1490"/>
      <c r="AG731" s="1490"/>
      <c r="AH731" s="1490"/>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90"/>
      <c r="D732" s="1490"/>
      <c r="E732" s="1490"/>
      <c r="F732" s="1490"/>
      <c r="G732" s="1490"/>
      <c r="H732" s="1490"/>
      <c r="I732" s="1490"/>
      <c r="J732" s="1490"/>
      <c r="K732" s="1490"/>
      <c r="L732" s="1490"/>
      <c r="M732" s="1490"/>
      <c r="N732" s="1490"/>
      <c r="O732" s="1490"/>
      <c r="P732" s="1490"/>
      <c r="Q732" s="1490"/>
      <c r="R732" s="1490"/>
      <c r="S732" s="1490"/>
      <c r="T732" s="1490"/>
      <c r="U732" s="1490"/>
      <c r="V732" s="1490"/>
      <c r="W732" s="1490"/>
      <c r="X732" s="1490"/>
      <c r="Y732" s="1490"/>
      <c r="Z732" s="1490"/>
      <c r="AA732" s="1490"/>
      <c r="AB732" s="1490"/>
      <c r="AC732" s="1490"/>
      <c r="AD732" s="1490"/>
      <c r="AE732" s="1490"/>
      <c r="AF732" s="1490"/>
      <c r="AG732" s="1490"/>
      <c r="AH732" s="1490"/>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557">
        <f>CQ628</f>
        <v>158</v>
      </c>
      <c r="P733" s="1557"/>
      <c r="Q733" s="1557"/>
      <c r="R733" s="1557"/>
      <c r="S733" s="924"/>
      <c r="T733" s="924"/>
      <c r="U733" s="270" t="s">
        <v>2061</v>
      </c>
      <c r="V733" s="922"/>
      <c r="W733" s="922"/>
      <c r="X733" s="922"/>
      <c r="Y733" s="923"/>
      <c r="Z733" s="923"/>
      <c r="AA733" s="923"/>
      <c r="AB733" s="923"/>
      <c r="AC733" s="922"/>
      <c r="AD733" s="922"/>
      <c r="AE733" s="922"/>
      <c r="AF733" s="922"/>
      <c r="AG733" s="1517"/>
      <c r="AH733" s="1517"/>
      <c r="AI733" s="1517"/>
      <c r="AJ733" s="1517"/>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167" t="str">
        <f>IF(G730&lt;&gt;AG433,"! Total Low-Income Units in the Unit Mix Table above does not match the number of Total Low-Income Units on row #"&amp;TEXT(ROW(AG433),"#"),"")</f>
        <v/>
      </c>
      <c r="D734" s="1167"/>
      <c r="E734" s="1167"/>
      <c r="F734" s="1167"/>
      <c r="G734" s="1167"/>
      <c r="H734" s="1167"/>
      <c r="I734" s="1167"/>
      <c r="J734" s="1167"/>
      <c r="K734" s="1167"/>
      <c r="L734" s="1167"/>
      <c r="M734" s="1167"/>
      <c r="N734" s="1167"/>
      <c r="O734" s="1167"/>
      <c r="P734" s="1167"/>
      <c r="Q734" s="1167"/>
      <c r="R734" s="1167"/>
      <c r="S734" s="1167"/>
      <c r="T734" s="1167"/>
      <c r="U734" s="1167"/>
      <c r="V734" s="1167"/>
      <c r="W734" s="1167"/>
      <c r="X734" s="1167"/>
      <c r="Y734" s="1167"/>
      <c r="Z734" s="1167"/>
      <c r="AA734" s="1167"/>
      <c r="AB734" s="1167"/>
      <c r="AC734" s="1167"/>
      <c r="AD734" s="1167"/>
      <c r="AE734" s="1167"/>
      <c r="AF734" s="1167"/>
      <c r="AG734" s="1167"/>
      <c r="AH734" s="1167"/>
      <c r="AI734" s="1167"/>
      <c r="AJ734" s="1167"/>
      <c r="AK734" s="1167"/>
      <c r="AL734" s="1167"/>
      <c r="AM734" s="1167"/>
      <c r="AN734" s="1167"/>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167"/>
      <c r="D735" s="1167"/>
      <c r="E735" s="1167"/>
      <c r="F735" s="1167"/>
      <c r="G735" s="1167"/>
      <c r="H735" s="1167"/>
      <c r="I735" s="1167"/>
      <c r="J735" s="1167"/>
      <c r="K735" s="1167"/>
      <c r="L735" s="1167"/>
      <c r="M735" s="1167"/>
      <c r="N735" s="1167"/>
      <c r="O735" s="1167"/>
      <c r="P735" s="1167"/>
      <c r="Q735" s="1167"/>
      <c r="R735" s="1167"/>
      <c r="S735" s="1167"/>
      <c r="T735" s="1167"/>
      <c r="U735" s="1167"/>
      <c r="V735" s="1167"/>
      <c r="W735" s="1167"/>
      <c r="X735" s="1167"/>
      <c r="Y735" s="1167"/>
      <c r="Z735" s="1167"/>
      <c r="AA735" s="1167"/>
      <c r="AB735" s="1167"/>
      <c r="AC735" s="1167"/>
      <c r="AD735" s="1167"/>
      <c r="AE735" s="1167"/>
      <c r="AF735" s="1167"/>
      <c r="AG735" s="1167"/>
      <c r="AH735" s="1167"/>
      <c r="AI735" s="1167"/>
      <c r="AJ735" s="1167"/>
      <c r="AK735" s="1167"/>
      <c r="AL735" s="1167"/>
      <c r="AM735" s="1167"/>
      <c r="AN735" s="1167"/>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303" t="s">
        <v>124</v>
      </c>
      <c r="AA736" s="1303"/>
      <c r="AB736" s="1303"/>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4" t="s">
        <v>2057</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4" t="s">
        <v>1518</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094" t="s">
        <v>54</v>
      </c>
      <c r="K748" s="1095"/>
      <c r="L748" s="1095"/>
      <c r="M748" s="1095"/>
      <c r="N748" s="1096"/>
      <c r="O748" s="1525" t="s">
        <v>256</v>
      </c>
      <c r="P748" s="1525"/>
      <c r="Q748" s="1525"/>
      <c r="R748" s="1525"/>
      <c r="S748" s="1525"/>
      <c r="T748" s="1291" t="s">
        <v>1993</v>
      </c>
      <c r="U748" s="1292"/>
      <c r="V748" s="1292"/>
      <c r="W748" s="1293"/>
      <c r="X748" s="1094" t="s">
        <v>589</v>
      </c>
      <c r="Y748" s="1095"/>
      <c r="Z748" s="1095"/>
      <c r="AA748" s="1095"/>
      <c r="AB748" s="1096"/>
      <c r="AC748" s="1094" t="s">
        <v>257</v>
      </c>
      <c r="AD748" s="1095"/>
      <c r="AE748" s="1095"/>
      <c r="AF748" s="1095"/>
      <c r="AG748" s="109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097"/>
      <c r="K749" s="1098"/>
      <c r="L749" s="1098"/>
      <c r="M749" s="1098"/>
      <c r="N749" s="1099"/>
      <c r="O749" s="1525"/>
      <c r="P749" s="1525"/>
      <c r="Q749" s="1525"/>
      <c r="R749" s="1525"/>
      <c r="S749" s="1525"/>
      <c r="T749" s="1294"/>
      <c r="U749" s="1295"/>
      <c r="V749" s="1295"/>
      <c r="W749" s="1296"/>
      <c r="X749" s="1097"/>
      <c r="Y749" s="1098"/>
      <c r="Z749" s="1098"/>
      <c r="AA749" s="1098"/>
      <c r="AB749" s="1099"/>
      <c r="AC749" s="1097"/>
      <c r="AD749" s="1098"/>
      <c r="AE749" s="1098"/>
      <c r="AF749" s="1098"/>
      <c r="AG749" s="109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097"/>
      <c r="K750" s="1098"/>
      <c r="L750" s="1098"/>
      <c r="M750" s="1098"/>
      <c r="N750" s="1099"/>
      <c r="O750" s="1525"/>
      <c r="P750" s="1525"/>
      <c r="Q750" s="1525"/>
      <c r="R750" s="1525"/>
      <c r="S750" s="1525"/>
      <c r="T750" s="1294"/>
      <c r="U750" s="1295"/>
      <c r="V750" s="1295"/>
      <c r="W750" s="1296"/>
      <c r="X750" s="1097"/>
      <c r="Y750" s="1098"/>
      <c r="Z750" s="1098"/>
      <c r="AA750" s="1098"/>
      <c r="AB750" s="1099"/>
      <c r="AC750" s="1097"/>
      <c r="AD750" s="1098"/>
      <c r="AE750" s="1098"/>
      <c r="AF750" s="1098"/>
      <c r="AG750" s="1099"/>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100"/>
      <c r="K751" s="1101"/>
      <c r="L751" s="1101"/>
      <c r="M751" s="1101"/>
      <c r="N751" s="1102"/>
      <c r="O751" s="1525"/>
      <c r="P751" s="1525"/>
      <c r="Q751" s="1525"/>
      <c r="R751" s="1525"/>
      <c r="S751" s="1525"/>
      <c r="T751" s="1297"/>
      <c r="U751" s="1298"/>
      <c r="V751" s="1298"/>
      <c r="W751" s="1299"/>
      <c r="X751" s="1100"/>
      <c r="Y751" s="1101"/>
      <c r="Z751" s="1101"/>
      <c r="AA751" s="1101"/>
      <c r="AB751" s="1102"/>
      <c r="AC751" s="1100"/>
      <c r="AD751" s="1101"/>
      <c r="AE751" s="1101"/>
      <c r="AF751" s="1101"/>
      <c r="AG751" s="1102"/>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73" t="s">
        <v>780</v>
      </c>
      <c r="K752" s="1074"/>
      <c r="L752" s="1074"/>
      <c r="M752" s="1074"/>
      <c r="N752" s="1075"/>
      <c r="O752" s="1408">
        <v>1</v>
      </c>
      <c r="P752" s="1408"/>
      <c r="Q752" s="1408"/>
      <c r="R752" s="1408"/>
      <c r="S752" s="1408"/>
      <c r="T752" s="1300">
        <v>795</v>
      </c>
      <c r="U752" s="1301"/>
      <c r="V752" s="1301"/>
      <c r="W752" s="1302"/>
      <c r="X752" s="1067"/>
      <c r="Y752" s="1068"/>
      <c r="Z752" s="1068"/>
      <c r="AA752" s="1068"/>
      <c r="AB752" s="1069"/>
      <c r="AC752" s="1070">
        <f>X752*O752</f>
        <v>0</v>
      </c>
      <c r="AD752" s="1071"/>
      <c r="AE752" s="1071"/>
      <c r="AF752" s="1071"/>
      <c r="AG752" s="107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73"/>
      <c r="K753" s="1074"/>
      <c r="L753" s="1074"/>
      <c r="M753" s="1074"/>
      <c r="N753" s="1075"/>
      <c r="O753" s="1408"/>
      <c r="P753" s="1408"/>
      <c r="Q753" s="1408"/>
      <c r="R753" s="1408"/>
      <c r="S753" s="1408"/>
      <c r="T753" s="1300"/>
      <c r="U753" s="1301"/>
      <c r="V753" s="1301"/>
      <c r="W753" s="1302"/>
      <c r="X753" s="1067"/>
      <c r="Y753" s="1068"/>
      <c r="Z753" s="1068"/>
      <c r="AA753" s="1068"/>
      <c r="AB753" s="1069"/>
      <c r="AC753" s="1070">
        <f>X753*O753</f>
        <v>0</v>
      </c>
      <c r="AD753" s="1071"/>
      <c r="AE753" s="1071"/>
      <c r="AF753" s="1071"/>
      <c r="AG753" s="107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73"/>
      <c r="K754" s="1074"/>
      <c r="L754" s="1074"/>
      <c r="M754" s="1074"/>
      <c r="N754" s="1075"/>
      <c r="O754" s="1408"/>
      <c r="P754" s="1408"/>
      <c r="Q754" s="1408"/>
      <c r="R754" s="1408"/>
      <c r="S754" s="1408"/>
      <c r="T754" s="1300"/>
      <c r="U754" s="1301"/>
      <c r="V754" s="1301"/>
      <c r="W754" s="1302"/>
      <c r="X754" s="1067"/>
      <c r="Y754" s="1068"/>
      <c r="Z754" s="1068"/>
      <c r="AA754" s="1068"/>
      <c r="AB754" s="1069"/>
      <c r="AC754" s="1070">
        <f>X754*O754</f>
        <v>0</v>
      </c>
      <c r="AD754" s="1071"/>
      <c r="AE754" s="1071"/>
      <c r="AF754" s="1071"/>
      <c r="AG754" s="107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73"/>
      <c r="K755" s="1074"/>
      <c r="L755" s="1074"/>
      <c r="M755" s="1074"/>
      <c r="N755" s="1075"/>
      <c r="O755" s="1408"/>
      <c r="P755" s="1408"/>
      <c r="Q755" s="1408"/>
      <c r="R755" s="1408"/>
      <c r="S755" s="1408"/>
      <c r="T755" s="1300"/>
      <c r="U755" s="1301"/>
      <c r="V755" s="1301"/>
      <c r="W755" s="1302"/>
      <c r="X755" s="1067"/>
      <c r="Y755" s="1068"/>
      <c r="Z755" s="1068"/>
      <c r="AA755" s="1068"/>
      <c r="AB755" s="1069"/>
      <c r="AC755" s="1070">
        <f>X755*O755</f>
        <v>0</v>
      </c>
      <c r="AD755" s="1071"/>
      <c r="AE755" s="1071"/>
      <c r="AF755" s="1071"/>
      <c r="AG755" s="1072"/>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061" t="s">
        <v>877</v>
      </c>
      <c r="K756" s="1062"/>
      <c r="L756" s="1062"/>
      <c r="M756" s="1062"/>
      <c r="N756" s="1063"/>
      <c r="O756" s="1318">
        <f>SUM(O752:S755)</f>
        <v>1</v>
      </c>
      <c r="P756" s="1319"/>
      <c r="Q756" s="1319"/>
      <c r="R756" s="1319"/>
      <c r="S756" s="1320"/>
      <c r="X756" s="1061" t="s">
        <v>876</v>
      </c>
      <c r="Y756" s="1062"/>
      <c r="Z756" s="1062"/>
      <c r="AA756" s="1062"/>
      <c r="AB756" s="1063"/>
      <c r="AC756" s="1070">
        <f>SUM(AC752:AG755)</f>
        <v>0</v>
      </c>
      <c r="AD756" s="1071"/>
      <c r="AE756" s="1071"/>
      <c r="AF756" s="1071"/>
      <c r="AG756" s="1072"/>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78" t="s">
        <v>482</v>
      </c>
      <c r="K758" s="1178"/>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094" t="s">
        <v>54</v>
      </c>
      <c r="K762" s="1095"/>
      <c r="L762" s="1095"/>
      <c r="M762" s="1095"/>
      <c r="N762" s="1096"/>
      <c r="O762" s="1525" t="s">
        <v>256</v>
      </c>
      <c r="P762" s="1525"/>
      <c r="Q762" s="1525"/>
      <c r="R762" s="1525"/>
      <c r="S762" s="1525"/>
      <c r="T762" s="1291" t="s">
        <v>1993</v>
      </c>
      <c r="U762" s="1292"/>
      <c r="V762" s="1292"/>
      <c r="W762" s="1293"/>
      <c r="X762" s="1094" t="s">
        <v>589</v>
      </c>
      <c r="Y762" s="1095"/>
      <c r="Z762" s="1095"/>
      <c r="AA762" s="1095"/>
      <c r="AB762" s="1096"/>
      <c r="AC762" s="1094" t="s">
        <v>257</v>
      </c>
      <c r="AD762" s="1095"/>
      <c r="AE762" s="1095"/>
      <c r="AF762" s="1095"/>
      <c r="AG762" s="109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097"/>
      <c r="K763" s="1098"/>
      <c r="L763" s="1098"/>
      <c r="M763" s="1098"/>
      <c r="N763" s="1099"/>
      <c r="O763" s="1525"/>
      <c r="P763" s="1525"/>
      <c r="Q763" s="1525"/>
      <c r="R763" s="1525"/>
      <c r="S763" s="1525"/>
      <c r="T763" s="1294"/>
      <c r="U763" s="1295"/>
      <c r="V763" s="1295"/>
      <c r="W763" s="1296"/>
      <c r="X763" s="1097"/>
      <c r="Y763" s="1098"/>
      <c r="Z763" s="1098"/>
      <c r="AA763" s="1098"/>
      <c r="AB763" s="1099"/>
      <c r="AC763" s="1097"/>
      <c r="AD763" s="1098"/>
      <c r="AE763" s="1098"/>
      <c r="AF763" s="1098"/>
      <c r="AG763" s="109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097"/>
      <c r="K764" s="1098"/>
      <c r="L764" s="1098"/>
      <c r="M764" s="1098"/>
      <c r="N764" s="1099"/>
      <c r="O764" s="1525"/>
      <c r="P764" s="1525"/>
      <c r="Q764" s="1525"/>
      <c r="R764" s="1525"/>
      <c r="S764" s="1525"/>
      <c r="T764" s="1294"/>
      <c r="U764" s="1295"/>
      <c r="V764" s="1295"/>
      <c r="W764" s="1296"/>
      <c r="X764" s="1097"/>
      <c r="Y764" s="1098"/>
      <c r="Z764" s="1098"/>
      <c r="AA764" s="1098"/>
      <c r="AB764" s="1099"/>
      <c r="AC764" s="1097"/>
      <c r="AD764" s="1098"/>
      <c r="AE764" s="1098"/>
      <c r="AF764" s="1098"/>
      <c r="AG764" s="109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100"/>
      <c r="K765" s="1101"/>
      <c r="L765" s="1101"/>
      <c r="M765" s="1101"/>
      <c r="N765" s="1102"/>
      <c r="O765" s="1525"/>
      <c r="P765" s="1525"/>
      <c r="Q765" s="1525"/>
      <c r="R765" s="1525"/>
      <c r="S765" s="1525"/>
      <c r="T765" s="1297"/>
      <c r="U765" s="1298"/>
      <c r="V765" s="1298"/>
      <c r="W765" s="1299"/>
      <c r="X765" s="1100"/>
      <c r="Y765" s="1101"/>
      <c r="Z765" s="1101"/>
      <c r="AA765" s="1101"/>
      <c r="AB765" s="1102"/>
      <c r="AC765" s="1100"/>
      <c r="AD765" s="1101"/>
      <c r="AE765" s="1101"/>
      <c r="AF765" s="1101"/>
      <c r="AG765" s="110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73"/>
      <c r="K766" s="1074"/>
      <c r="L766" s="1074"/>
      <c r="M766" s="1074"/>
      <c r="N766" s="1075"/>
      <c r="O766" s="1408"/>
      <c r="P766" s="1408"/>
      <c r="Q766" s="1408"/>
      <c r="R766" s="1408"/>
      <c r="S766" s="1408"/>
      <c r="T766" s="1300"/>
      <c r="U766" s="1301"/>
      <c r="V766" s="1301"/>
      <c r="W766" s="1302"/>
      <c r="X766" s="1067"/>
      <c r="Y766" s="1068"/>
      <c r="Z766" s="1068"/>
      <c r="AA766" s="1068"/>
      <c r="AB766" s="1069"/>
      <c r="AC766" s="1070">
        <f t="shared" ref="AC766:AC775" si="64">X766*O766</f>
        <v>0</v>
      </c>
      <c r="AD766" s="1071"/>
      <c r="AE766" s="1071"/>
      <c r="AF766" s="1071"/>
      <c r="AG766" s="107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73"/>
      <c r="K767" s="1074"/>
      <c r="L767" s="1074"/>
      <c r="M767" s="1074"/>
      <c r="N767" s="1075"/>
      <c r="O767" s="1408"/>
      <c r="P767" s="1408"/>
      <c r="Q767" s="1408"/>
      <c r="R767" s="1408"/>
      <c r="S767" s="1408"/>
      <c r="T767" s="1300"/>
      <c r="U767" s="1301"/>
      <c r="V767" s="1301"/>
      <c r="W767" s="1302"/>
      <c r="X767" s="1067"/>
      <c r="Y767" s="1068"/>
      <c r="Z767" s="1068"/>
      <c r="AA767" s="1068"/>
      <c r="AB767" s="1069"/>
      <c r="AC767" s="1070">
        <f t="shared" si="64"/>
        <v>0</v>
      </c>
      <c r="AD767" s="1071"/>
      <c r="AE767" s="1071"/>
      <c r="AF767" s="1071"/>
      <c r="AG767" s="107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73"/>
      <c r="K768" s="1074"/>
      <c r="L768" s="1074"/>
      <c r="M768" s="1074"/>
      <c r="N768" s="1075"/>
      <c r="O768" s="1408"/>
      <c r="P768" s="1408"/>
      <c r="Q768" s="1408"/>
      <c r="R768" s="1408"/>
      <c r="S768" s="1408"/>
      <c r="T768" s="1300"/>
      <c r="U768" s="1301"/>
      <c r="V768" s="1301"/>
      <c r="W768" s="1302"/>
      <c r="X768" s="1067"/>
      <c r="Y768" s="1068"/>
      <c r="Z768" s="1068"/>
      <c r="AA768" s="1068"/>
      <c r="AB768" s="1069"/>
      <c r="AC768" s="1070">
        <f t="shared" si="64"/>
        <v>0</v>
      </c>
      <c r="AD768" s="1071"/>
      <c r="AE768" s="1071"/>
      <c r="AF768" s="1071"/>
      <c r="AG768" s="107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73"/>
      <c r="K769" s="1074"/>
      <c r="L769" s="1074"/>
      <c r="M769" s="1074"/>
      <c r="N769" s="1075"/>
      <c r="O769" s="1408"/>
      <c r="P769" s="1408"/>
      <c r="Q769" s="1408"/>
      <c r="R769" s="1408"/>
      <c r="S769" s="1408"/>
      <c r="T769" s="1300"/>
      <c r="U769" s="1301"/>
      <c r="V769" s="1301"/>
      <c r="W769" s="1302"/>
      <c r="X769" s="1067"/>
      <c r="Y769" s="1068"/>
      <c r="Z769" s="1068"/>
      <c r="AA769" s="1068"/>
      <c r="AB769" s="1069"/>
      <c r="AC769" s="1070">
        <f t="shared" si="64"/>
        <v>0</v>
      </c>
      <c r="AD769" s="1071"/>
      <c r="AE769" s="1071"/>
      <c r="AF769" s="1071"/>
      <c r="AG769" s="1072"/>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73"/>
      <c r="K770" s="1074"/>
      <c r="L770" s="1074"/>
      <c r="M770" s="1074"/>
      <c r="N770" s="1075"/>
      <c r="O770" s="1408"/>
      <c r="P770" s="1408"/>
      <c r="Q770" s="1408"/>
      <c r="R770" s="1408"/>
      <c r="S770" s="1408"/>
      <c r="T770" s="1300"/>
      <c r="U770" s="1301"/>
      <c r="V770" s="1301"/>
      <c r="W770" s="1302"/>
      <c r="X770" s="1067"/>
      <c r="Y770" s="1068"/>
      <c r="Z770" s="1068"/>
      <c r="AA770" s="1068"/>
      <c r="AB770" s="1069"/>
      <c r="AC770" s="1070">
        <f t="shared" si="64"/>
        <v>0</v>
      </c>
      <c r="AD770" s="1071"/>
      <c r="AE770" s="1071"/>
      <c r="AF770" s="1071"/>
      <c r="AG770" s="1072"/>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73"/>
      <c r="K771" s="1074"/>
      <c r="L771" s="1074"/>
      <c r="M771" s="1074"/>
      <c r="N771" s="1075"/>
      <c r="O771" s="1408"/>
      <c r="P771" s="1408"/>
      <c r="Q771" s="1408"/>
      <c r="R771" s="1408"/>
      <c r="S771" s="1408"/>
      <c r="T771" s="1300"/>
      <c r="U771" s="1301"/>
      <c r="V771" s="1301"/>
      <c r="W771" s="1302"/>
      <c r="X771" s="1067"/>
      <c r="Y771" s="1068"/>
      <c r="Z771" s="1068"/>
      <c r="AA771" s="1068"/>
      <c r="AB771" s="1069"/>
      <c r="AC771" s="1070">
        <f t="shared" si="64"/>
        <v>0</v>
      </c>
      <c r="AD771" s="1071"/>
      <c r="AE771" s="1071"/>
      <c r="AF771" s="1071"/>
      <c r="AG771" s="1072"/>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73"/>
      <c r="K772" s="1074"/>
      <c r="L772" s="1074"/>
      <c r="M772" s="1074"/>
      <c r="N772" s="1075"/>
      <c r="O772" s="1408"/>
      <c r="P772" s="1408"/>
      <c r="Q772" s="1408"/>
      <c r="R772" s="1408"/>
      <c r="S772" s="1408"/>
      <c r="T772" s="1300"/>
      <c r="U772" s="1301"/>
      <c r="V772" s="1301"/>
      <c r="W772" s="1302"/>
      <c r="X772" s="1067"/>
      <c r="Y772" s="1068"/>
      <c r="Z772" s="1068"/>
      <c r="AA772" s="1068"/>
      <c r="AB772" s="1069"/>
      <c r="AC772" s="1070">
        <f t="shared" si="64"/>
        <v>0</v>
      </c>
      <c r="AD772" s="1071"/>
      <c r="AE772" s="1071"/>
      <c r="AF772" s="1071"/>
      <c r="AG772" s="1072"/>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73"/>
      <c r="K773" s="1074"/>
      <c r="L773" s="1074"/>
      <c r="M773" s="1074"/>
      <c r="N773" s="1075"/>
      <c r="O773" s="1408"/>
      <c r="P773" s="1408"/>
      <c r="Q773" s="1408"/>
      <c r="R773" s="1408"/>
      <c r="S773" s="1408"/>
      <c r="T773" s="1300"/>
      <c r="U773" s="1301"/>
      <c r="V773" s="1301"/>
      <c r="W773" s="1302"/>
      <c r="X773" s="1067"/>
      <c r="Y773" s="1068"/>
      <c r="Z773" s="1068"/>
      <c r="AA773" s="1068"/>
      <c r="AB773" s="1069"/>
      <c r="AC773" s="1070">
        <f t="shared" si="64"/>
        <v>0</v>
      </c>
      <c r="AD773" s="1071"/>
      <c r="AE773" s="1071"/>
      <c r="AF773" s="1071"/>
      <c r="AG773" s="1072"/>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73"/>
      <c r="K774" s="1074"/>
      <c r="L774" s="1074"/>
      <c r="M774" s="1074"/>
      <c r="N774" s="1075"/>
      <c r="O774" s="1408"/>
      <c r="P774" s="1408"/>
      <c r="Q774" s="1408"/>
      <c r="R774" s="1408"/>
      <c r="S774" s="1408"/>
      <c r="T774" s="1300"/>
      <c r="U774" s="1301"/>
      <c r="V774" s="1301"/>
      <c r="W774" s="1302"/>
      <c r="X774" s="1067"/>
      <c r="Y774" s="1068"/>
      <c r="Z774" s="1068"/>
      <c r="AA774" s="1068"/>
      <c r="AB774" s="1069"/>
      <c r="AC774" s="1070">
        <f t="shared" si="64"/>
        <v>0</v>
      </c>
      <c r="AD774" s="1071"/>
      <c r="AE774" s="1071"/>
      <c r="AF774" s="1071"/>
      <c r="AG774" s="1072"/>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73"/>
      <c r="K775" s="1074"/>
      <c r="L775" s="1074"/>
      <c r="M775" s="1074"/>
      <c r="N775" s="1075"/>
      <c r="O775" s="1408"/>
      <c r="P775" s="1408"/>
      <c r="Q775" s="1408"/>
      <c r="R775" s="1408"/>
      <c r="S775" s="1408"/>
      <c r="T775" s="1300"/>
      <c r="U775" s="1301"/>
      <c r="V775" s="1301"/>
      <c r="W775" s="1302"/>
      <c r="X775" s="1067"/>
      <c r="Y775" s="1068"/>
      <c r="Z775" s="1068"/>
      <c r="AA775" s="1068"/>
      <c r="AB775" s="1069"/>
      <c r="AC775" s="1070">
        <f t="shared" si="64"/>
        <v>0</v>
      </c>
      <c r="AD775" s="1071"/>
      <c r="AE775" s="1071"/>
      <c r="AF775" s="1071"/>
      <c r="AG775" s="1072"/>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061" t="s">
        <v>877</v>
      </c>
      <c r="K776" s="1062"/>
      <c r="L776" s="1062"/>
      <c r="M776" s="1062"/>
      <c r="N776" s="1063"/>
      <c r="O776" s="1557">
        <f>SUM(O766:S775)</f>
        <v>0</v>
      </c>
      <c r="P776" s="1557"/>
      <c r="Q776" s="1557"/>
      <c r="R776" s="1557"/>
      <c r="S776" s="1557"/>
      <c r="X776" s="430" t="s">
        <v>876</v>
      </c>
      <c r="Y776" s="168"/>
      <c r="Z776" s="168"/>
      <c r="AA776" s="168"/>
      <c r="AB776" s="842"/>
      <c r="AC776" s="1070">
        <f>SUM(AC766:AG775)</f>
        <v>0</v>
      </c>
      <c r="AD776" s="1071"/>
      <c r="AE776" s="1071"/>
      <c r="AF776" s="1071"/>
      <c r="AG776" s="1072"/>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167" t="str">
        <f>IF(O776&lt;&gt;AG431,"! Total market rate units in the Unit Mix Table above does not match the number of market rate units on row #"&amp;TEXT(ROW(AG431),"#"),"")</f>
        <v/>
      </c>
      <c r="D777" s="1167"/>
      <c r="E777" s="1167"/>
      <c r="F777" s="1167"/>
      <c r="G777" s="1167"/>
      <c r="H777" s="1167"/>
      <c r="I777" s="1167"/>
      <c r="J777" s="1167"/>
      <c r="K777" s="1167"/>
      <c r="L777" s="1167"/>
      <c r="M777" s="1167"/>
      <c r="N777" s="1167"/>
      <c r="O777" s="1167"/>
      <c r="P777" s="1167"/>
      <c r="Q777" s="1167"/>
      <c r="R777" s="1167"/>
      <c r="S777" s="1167"/>
      <c r="T777" s="1167"/>
      <c r="U777" s="1167"/>
      <c r="V777" s="1167"/>
      <c r="W777" s="1167"/>
      <c r="X777" s="1167"/>
      <c r="Y777" s="1167"/>
      <c r="Z777" s="1167"/>
      <c r="AA777" s="1167"/>
      <c r="AB777" s="1167"/>
      <c r="AC777" s="1167"/>
      <c r="AD777" s="1167"/>
      <c r="AE777" s="1167"/>
      <c r="AF777" s="1167"/>
      <c r="AG777" s="1167"/>
      <c r="AH777" s="1167"/>
      <c r="AI777" s="1167"/>
      <c r="AJ777" s="1167"/>
      <c r="AK777" s="1167"/>
      <c r="AL777" s="1167"/>
      <c r="AM777" s="1167"/>
      <c r="AN777" s="11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167"/>
      <c r="D778" s="1167"/>
      <c r="E778" s="1167"/>
      <c r="F778" s="1167"/>
      <c r="G778" s="1167"/>
      <c r="H778" s="1167"/>
      <c r="I778" s="1167"/>
      <c r="J778" s="1167"/>
      <c r="K778" s="1167"/>
      <c r="L778" s="1167"/>
      <c r="M778" s="1167"/>
      <c r="N778" s="1167"/>
      <c r="O778" s="1167"/>
      <c r="P778" s="1167"/>
      <c r="Q778" s="1167"/>
      <c r="R778" s="1167"/>
      <c r="S778" s="1167"/>
      <c r="T778" s="1167"/>
      <c r="U778" s="1167"/>
      <c r="V778" s="1167"/>
      <c r="W778" s="1167"/>
      <c r="X778" s="1167"/>
      <c r="Y778" s="1167"/>
      <c r="Z778" s="1167"/>
      <c r="AA778" s="1167"/>
      <c r="AB778" s="1167"/>
      <c r="AC778" s="1167"/>
      <c r="AD778" s="1167"/>
      <c r="AE778" s="1167"/>
      <c r="AF778" s="1167"/>
      <c r="AG778" s="1167"/>
      <c r="AH778" s="1167"/>
      <c r="AI778" s="1167"/>
      <c r="AJ778" s="1167"/>
      <c r="AK778" s="1167"/>
      <c r="AL778" s="1167"/>
      <c r="AM778" s="1167"/>
      <c r="AN778" s="11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82">
        <f>T730+AC756+AC776</f>
        <v>62929</v>
      </c>
      <c r="Z779" s="1282"/>
      <c r="AA779" s="1282"/>
      <c r="AB779" s="1282"/>
      <c r="AC779" s="128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82">
        <f>(T730+AC756+AC776)*12</f>
        <v>755148</v>
      </c>
      <c r="Z780" s="1282"/>
      <c r="AA780" s="1282"/>
      <c r="AB780" s="1282"/>
      <c r="AC780" s="128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18"/>
      <c r="AA785" s="1406"/>
      <c r="AB785" s="1406"/>
      <c r="AC785" s="1406"/>
      <c r="AD785" s="1406"/>
      <c r="AE785" s="1407"/>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05">
        <v>0</v>
      </c>
      <c r="AA786" s="1406"/>
      <c r="AB786" s="1406"/>
      <c r="AC786" s="1406"/>
      <c r="AD786" s="1406"/>
      <c r="AE786" s="1407"/>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02">
        <v>0</v>
      </c>
      <c r="AA787" s="1403"/>
      <c r="AB787" s="1403"/>
      <c r="AC787" s="1403"/>
      <c r="AD787" s="1403"/>
      <c r="AE787" s="140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26">
        <f>'Subsidy Contract Calculation'!I40</f>
        <v>0</v>
      </c>
      <c r="AA788" s="1527"/>
      <c r="AB788" s="1527"/>
      <c r="AC788" s="1527"/>
      <c r="AD788" s="1527"/>
      <c r="AE788" s="152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70">
        <v>15360</v>
      </c>
      <c r="AA792" s="1271"/>
      <c r="AB792" s="1271"/>
      <c r="AC792" s="1271"/>
      <c r="AD792" s="1271"/>
      <c r="AE792" s="127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70"/>
      <c r="AA793" s="1271"/>
      <c r="AB793" s="1271"/>
      <c r="AC793" s="1271"/>
      <c r="AD793" s="1271"/>
      <c r="AE793" s="127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70"/>
      <c r="AA794" s="1271"/>
      <c r="AB794" s="1271"/>
      <c r="AC794" s="1271"/>
      <c r="AD794" s="1271"/>
      <c r="AE794" s="127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74" t="s">
        <v>562</v>
      </c>
      <c r="Q795" s="1275"/>
      <c r="R795" s="1275"/>
      <c r="S795" s="1275"/>
      <c r="T795" s="1275"/>
      <c r="U795" s="1275"/>
      <c r="V795" s="1275"/>
      <c r="W795" s="1275"/>
      <c r="X795" s="1275"/>
      <c r="Y795" s="1276"/>
      <c r="Z795" s="1270"/>
      <c r="AA795" s="1271"/>
      <c r="AB795" s="1271"/>
      <c r="AC795" s="1271"/>
      <c r="AD795" s="1271"/>
      <c r="AE795" s="127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077">
        <f>SUM(Z792:AE795)</f>
        <v>15360</v>
      </c>
      <c r="AA796" s="1078"/>
      <c r="AB796" s="1078"/>
      <c r="AC796" s="1078"/>
      <c r="AD796" s="1078"/>
      <c r="AE796" s="107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077">
        <f>Z796+Y780+Z788</f>
        <v>770508</v>
      </c>
      <c r="AA797" s="1078"/>
      <c r="AB797" s="1078"/>
      <c r="AC797" s="1078"/>
      <c r="AD797" s="1078"/>
      <c r="AE797" s="107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76" t="s">
        <v>878</v>
      </c>
      <c r="N802" s="1576"/>
      <c r="O802" s="1576"/>
      <c r="P802" s="1577"/>
      <c r="Q802" s="1520" t="s">
        <v>263</v>
      </c>
      <c r="R802" s="1520"/>
      <c r="S802" s="1520"/>
      <c r="T802" s="1520"/>
      <c r="U802" s="1520" t="s">
        <v>264</v>
      </c>
      <c r="V802" s="1520"/>
      <c r="W802" s="1520"/>
      <c r="X802" s="1520"/>
      <c r="Y802" s="1520" t="s">
        <v>265</v>
      </c>
      <c r="Z802" s="1520"/>
      <c r="AA802" s="1520"/>
      <c r="AB802" s="1520"/>
      <c r="AC802" s="1520" t="s">
        <v>31</v>
      </c>
      <c r="AD802" s="1520"/>
      <c r="AE802" s="1520"/>
      <c r="AF802" s="1520"/>
      <c r="AG802" s="1524" t="s">
        <v>563</v>
      </c>
      <c r="AH802" s="1524"/>
      <c r="AI802" s="1524"/>
      <c r="AJ802" s="152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70"/>
      <c r="N803" s="1570"/>
      <c r="O803" s="1570"/>
      <c r="P803" s="1571"/>
      <c r="Q803" s="1520"/>
      <c r="R803" s="1520"/>
      <c r="S803" s="1520"/>
      <c r="T803" s="1520"/>
      <c r="U803" s="1520"/>
      <c r="V803" s="1520"/>
      <c r="W803" s="1520"/>
      <c r="X803" s="1520"/>
      <c r="Y803" s="1520"/>
      <c r="Z803" s="1520"/>
      <c r="AA803" s="1520"/>
      <c r="AB803" s="1520"/>
      <c r="AC803" s="1520"/>
      <c r="AD803" s="1520"/>
      <c r="AE803" s="1520"/>
      <c r="AF803" s="1520"/>
      <c r="AG803" s="1524"/>
      <c r="AH803" s="1524"/>
      <c r="AI803" s="1524"/>
      <c r="AJ803" s="152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61" t="s">
        <v>694</v>
      </c>
      <c r="D804" s="1131"/>
      <c r="E804" s="1131"/>
      <c r="F804" s="1131"/>
      <c r="G804" s="1131"/>
      <c r="H804" s="1131"/>
      <c r="I804" s="54"/>
      <c r="J804" s="54"/>
      <c r="K804" s="54"/>
      <c r="L804" s="55"/>
      <c r="M804" s="1258"/>
      <c r="N804" s="1258"/>
      <c r="O804" s="1258"/>
      <c r="P804" s="1258"/>
      <c r="Q804" s="1258"/>
      <c r="R804" s="1258"/>
      <c r="S804" s="1258"/>
      <c r="T804" s="1258"/>
      <c r="U804" s="1258"/>
      <c r="V804" s="1258"/>
      <c r="W804" s="1258"/>
      <c r="X804" s="1258"/>
      <c r="Y804" s="1258"/>
      <c r="Z804" s="1258"/>
      <c r="AA804" s="1258"/>
      <c r="AB804" s="1258"/>
      <c r="AC804" s="1084"/>
      <c r="AD804" s="1085"/>
      <c r="AE804" s="1085"/>
      <c r="AF804" s="1086"/>
      <c r="AG804" s="1084"/>
      <c r="AH804" s="1085"/>
      <c r="AI804" s="1085"/>
      <c r="AJ804" s="108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88" t="s">
        <v>695</v>
      </c>
      <c r="D805" s="1366"/>
      <c r="E805" s="1366"/>
      <c r="F805" s="1366"/>
      <c r="G805" s="1366"/>
      <c r="H805" s="1366"/>
      <c r="I805" s="9"/>
      <c r="J805" s="9"/>
      <c r="K805" s="9"/>
      <c r="L805" s="52"/>
      <c r="M805" s="1258"/>
      <c r="N805" s="1258"/>
      <c r="O805" s="1258"/>
      <c r="P805" s="1258"/>
      <c r="Q805" s="1258"/>
      <c r="R805" s="1258"/>
      <c r="S805" s="1258"/>
      <c r="T805" s="1258"/>
      <c r="U805" s="1258"/>
      <c r="V805" s="1258"/>
      <c r="W805" s="1258"/>
      <c r="X805" s="1258"/>
      <c r="Y805" s="1258"/>
      <c r="Z805" s="1258"/>
      <c r="AA805" s="1258"/>
      <c r="AB805" s="1258"/>
      <c r="AC805" s="1084"/>
      <c r="AD805" s="1085"/>
      <c r="AE805" s="1085"/>
      <c r="AF805" s="1086"/>
      <c r="AG805" s="1084"/>
      <c r="AH805" s="1085"/>
      <c r="AI805" s="1085"/>
      <c r="AJ805" s="108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88" t="s">
        <v>71</v>
      </c>
      <c r="D806" s="1366"/>
      <c r="E806" s="1366"/>
      <c r="F806" s="1366"/>
      <c r="G806" s="1366"/>
      <c r="H806" s="1366"/>
      <c r="I806" s="66"/>
      <c r="J806" s="66"/>
      <c r="K806" s="66"/>
      <c r="L806" s="67"/>
      <c r="M806" s="1258"/>
      <c r="N806" s="1258"/>
      <c r="O806" s="1258"/>
      <c r="P806" s="1258"/>
      <c r="Q806" s="1258"/>
      <c r="R806" s="1258"/>
      <c r="S806" s="1258"/>
      <c r="T806" s="1258"/>
      <c r="U806" s="1258"/>
      <c r="V806" s="1258"/>
      <c r="W806" s="1258"/>
      <c r="X806" s="1258"/>
      <c r="Y806" s="1258"/>
      <c r="Z806" s="1258"/>
      <c r="AA806" s="1258"/>
      <c r="AB806" s="1258"/>
      <c r="AC806" s="1084"/>
      <c r="AD806" s="1085"/>
      <c r="AE806" s="1085"/>
      <c r="AF806" s="1086"/>
      <c r="AG806" s="1084"/>
      <c r="AH806" s="1085"/>
      <c r="AI806" s="1085"/>
      <c r="AJ806" s="108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88" t="s">
        <v>178</v>
      </c>
      <c r="D807" s="1366"/>
      <c r="E807" s="1366"/>
      <c r="F807" s="1366"/>
      <c r="G807" s="1366"/>
      <c r="H807" s="1366"/>
      <c r="I807" s="66"/>
      <c r="J807" s="66"/>
      <c r="K807" s="66"/>
      <c r="L807" s="67"/>
      <c r="M807" s="1258"/>
      <c r="N807" s="1258"/>
      <c r="O807" s="1258"/>
      <c r="P807" s="1258"/>
      <c r="Q807" s="1258"/>
      <c r="R807" s="1258"/>
      <c r="S807" s="1258"/>
      <c r="T807" s="1258"/>
      <c r="U807" s="1258"/>
      <c r="V807" s="1258"/>
      <c r="W807" s="1258"/>
      <c r="X807" s="1258"/>
      <c r="Y807" s="1258"/>
      <c r="Z807" s="1258"/>
      <c r="AA807" s="1258"/>
      <c r="AB807" s="1258"/>
      <c r="AC807" s="1084"/>
      <c r="AD807" s="1085"/>
      <c r="AE807" s="1085"/>
      <c r="AF807" s="1086"/>
      <c r="AG807" s="1084"/>
      <c r="AH807" s="1085"/>
      <c r="AI807" s="1085"/>
      <c r="AJ807" s="108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88" t="s">
        <v>790</v>
      </c>
      <c r="D808" s="1366"/>
      <c r="E808" s="1366"/>
      <c r="F808" s="1366"/>
      <c r="G808" s="1366"/>
      <c r="H808" s="1366"/>
      <c r="I808" s="66"/>
      <c r="J808" s="66"/>
      <c r="K808" s="66"/>
      <c r="L808" s="67"/>
      <c r="M808" s="1258"/>
      <c r="N808" s="1258"/>
      <c r="O808" s="1258"/>
      <c r="P808" s="1258"/>
      <c r="Q808" s="1258"/>
      <c r="R808" s="1258"/>
      <c r="S808" s="1258"/>
      <c r="T808" s="1258"/>
      <c r="U808" s="1258"/>
      <c r="V808" s="1258"/>
      <c r="W808" s="1258"/>
      <c r="X808" s="1258"/>
      <c r="Y808" s="1258"/>
      <c r="Z808" s="1258"/>
      <c r="AA808" s="1258"/>
      <c r="AB808" s="1258"/>
      <c r="AC808" s="1084"/>
      <c r="AD808" s="1085"/>
      <c r="AE808" s="1085"/>
      <c r="AF808" s="1086"/>
      <c r="AG808" s="1084"/>
      <c r="AH808" s="1085"/>
      <c r="AI808" s="1085"/>
      <c r="AJ808" s="108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69" t="s">
        <v>943</v>
      </c>
      <c r="D809" s="1366"/>
      <c r="E809" s="1366"/>
      <c r="F809" s="1366"/>
      <c r="G809" s="1366"/>
      <c r="H809" s="1366"/>
      <c r="I809" s="66"/>
      <c r="J809" s="66"/>
      <c r="K809" s="66"/>
      <c r="L809" s="67"/>
      <c r="M809" s="1258"/>
      <c r="N809" s="1258"/>
      <c r="O809" s="1258"/>
      <c r="P809" s="1258"/>
      <c r="Q809" s="1258"/>
      <c r="R809" s="1258"/>
      <c r="S809" s="1258"/>
      <c r="T809" s="1258"/>
      <c r="U809" s="1258"/>
      <c r="V809" s="1258"/>
      <c r="W809" s="1258"/>
      <c r="X809" s="1258"/>
      <c r="Y809" s="1258"/>
      <c r="Z809" s="1258"/>
      <c r="AA809" s="1258"/>
      <c r="AB809" s="1258"/>
      <c r="AC809" s="1084"/>
      <c r="AD809" s="1085"/>
      <c r="AE809" s="1085"/>
      <c r="AF809" s="1086"/>
      <c r="AG809" s="1084"/>
      <c r="AH809" s="1085"/>
      <c r="AI809" s="1085"/>
      <c r="AJ809" s="108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514" t="s">
        <v>2457</v>
      </c>
      <c r="G810" s="1275"/>
      <c r="H810" s="1275"/>
      <c r="I810" s="1275"/>
      <c r="J810" s="1275"/>
      <c r="K810" s="1275"/>
      <c r="L810" s="1275"/>
      <c r="M810" s="1258"/>
      <c r="N810" s="1258"/>
      <c r="O810" s="1258"/>
      <c r="P810" s="1258"/>
      <c r="Q810" s="1258"/>
      <c r="R810" s="1258"/>
      <c r="S810" s="1258"/>
      <c r="T810" s="1258"/>
      <c r="U810" s="1258">
        <v>12</v>
      </c>
      <c r="V810" s="1258"/>
      <c r="W810" s="1258"/>
      <c r="X810" s="1258"/>
      <c r="Y810" s="1258">
        <v>12</v>
      </c>
      <c r="Z810" s="1258"/>
      <c r="AA810" s="1258"/>
      <c r="AB810" s="1258"/>
      <c r="AC810" s="1084"/>
      <c r="AD810" s="1085"/>
      <c r="AE810" s="1085"/>
      <c r="AF810" s="1086"/>
      <c r="AG810" s="1084"/>
      <c r="AH810" s="1085"/>
      <c r="AI810" s="1085"/>
      <c r="AJ810" s="108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061" t="s">
        <v>876</v>
      </c>
      <c r="D811" s="1062"/>
      <c r="E811" s="1062"/>
      <c r="F811" s="1062"/>
      <c r="G811" s="1062"/>
      <c r="H811" s="1062"/>
      <c r="I811" s="1062"/>
      <c r="J811" s="1062"/>
      <c r="K811" s="1062"/>
      <c r="L811" s="1063"/>
      <c r="M811" s="1273">
        <f>SUM(M804:P810)</f>
        <v>0</v>
      </c>
      <c r="N811" s="1273"/>
      <c r="O811" s="1273"/>
      <c r="P811" s="1273"/>
      <c r="Q811" s="1273">
        <f>SUM(Q804:T810)</f>
        <v>0</v>
      </c>
      <c r="R811" s="1273"/>
      <c r="S811" s="1273"/>
      <c r="T811" s="1273"/>
      <c r="U811" s="1273">
        <f>SUM(U804:X810)</f>
        <v>12</v>
      </c>
      <c r="V811" s="1273"/>
      <c r="W811" s="1273"/>
      <c r="X811" s="1273"/>
      <c r="Y811" s="1273">
        <f>SUM(Y804:AB810)</f>
        <v>12</v>
      </c>
      <c r="Z811" s="1273"/>
      <c r="AA811" s="1273"/>
      <c r="AB811" s="1273"/>
      <c r="AC811" s="1273">
        <f>SUM(AC804:AF810)</f>
        <v>0</v>
      </c>
      <c r="AD811" s="1273"/>
      <c r="AE811" s="1273"/>
      <c r="AF811" s="1273"/>
      <c r="AG811" s="1273">
        <f>SUM(AG804:AJ810)</f>
        <v>0</v>
      </c>
      <c r="AH811" s="1273"/>
      <c r="AI811" s="1273"/>
      <c r="AJ811" s="1273"/>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83" t="s">
        <v>2457</v>
      </c>
      <c r="D816" s="1284"/>
      <c r="E816" s="1284"/>
      <c r="F816" s="1284"/>
      <c r="G816" s="1284"/>
      <c r="H816" s="1284"/>
      <c r="I816" s="1284"/>
      <c r="J816" s="1284"/>
      <c r="K816" s="1284"/>
      <c r="L816" s="1284"/>
      <c r="M816" s="1284"/>
      <c r="N816" s="1284"/>
      <c r="O816" s="1284"/>
      <c r="P816" s="1284"/>
      <c r="Q816" s="1284"/>
      <c r="R816" s="1284"/>
      <c r="S816" s="1284"/>
      <c r="T816" s="1284"/>
      <c r="U816" s="1284"/>
      <c r="V816" s="1284"/>
      <c r="W816" s="1284"/>
      <c r="X816" s="1284"/>
      <c r="Y816" s="1284"/>
      <c r="Z816" s="1284"/>
      <c r="AA816" s="1284"/>
      <c r="AB816" s="1284"/>
      <c r="AC816" s="1284"/>
      <c r="AD816" s="1284"/>
      <c r="AE816" s="1284"/>
      <c r="AF816" s="1284"/>
      <c r="AG816" s="1284"/>
      <c r="AH816" s="1284"/>
      <c r="AI816" s="1284"/>
      <c r="AJ816" s="128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43" t="s">
        <v>368</v>
      </c>
      <c r="BB819" s="15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076">
        <v>533</v>
      </c>
      <c r="X821" s="1076"/>
      <c r="Y821" s="1076"/>
      <c r="Z821" s="1076"/>
      <c r="AA821" s="1076"/>
      <c r="AB821" s="1076"/>
      <c r="AC821" s="1076"/>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076">
        <v>3920</v>
      </c>
      <c r="X822" s="1076"/>
      <c r="Y822" s="1076"/>
      <c r="Z822" s="1076"/>
      <c r="AA822" s="1076"/>
      <c r="AB822" s="1076"/>
      <c r="AC822" s="1076"/>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076">
        <v>8436</v>
      </c>
      <c r="X823" s="1076"/>
      <c r="Y823" s="1076"/>
      <c r="Z823" s="1076"/>
      <c r="AA823" s="1076"/>
      <c r="AB823" s="1076"/>
      <c r="AC823" s="1076"/>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076">
        <v>5000</v>
      </c>
      <c r="X824" s="1076"/>
      <c r="Y824" s="1076"/>
      <c r="Z824" s="1076"/>
      <c r="AA824" s="1076"/>
      <c r="AB824" s="1076"/>
      <c r="AC824" s="107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74" t="s">
        <v>562</v>
      </c>
      <c r="N825" s="1275"/>
      <c r="O825" s="1275"/>
      <c r="P825" s="1275"/>
      <c r="Q825" s="1275"/>
      <c r="R825" s="1275"/>
      <c r="S825" s="1275"/>
      <c r="T825" s="1275"/>
      <c r="U825" s="1275"/>
      <c r="V825" s="1276"/>
      <c r="W825" s="1076"/>
      <c r="X825" s="1076"/>
      <c r="Y825" s="1076"/>
      <c r="Z825" s="1076"/>
      <c r="AA825" s="1076"/>
      <c r="AB825" s="1076"/>
      <c r="AC825" s="107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40" t="str">
        <f>T189</f>
        <v>Lake</v>
      </c>
      <c r="BP825" s="1541"/>
      <c r="BQ825" s="1541"/>
      <c r="BR825" s="1541"/>
      <c r="BS825" s="1541"/>
      <c r="BT825" s="1541"/>
      <c r="BU825" s="15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077">
        <f>SUM(W821:AC825)</f>
        <v>17889</v>
      </c>
      <c r="X826" s="1078"/>
      <c r="Y826" s="1078"/>
      <c r="Z826" s="1078"/>
      <c r="AA826" s="1078"/>
      <c r="AB826" s="1078"/>
      <c r="AC826" s="107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061" t="s">
        <v>469</v>
      </c>
      <c r="K828" s="1062"/>
      <c r="L828" s="1062"/>
      <c r="M828" s="1062"/>
      <c r="N828" s="1062"/>
      <c r="O828" s="1062"/>
      <c r="P828" s="1062"/>
      <c r="Q828" s="1062"/>
      <c r="R828" s="1062"/>
      <c r="S828" s="1062"/>
      <c r="T828" s="1062"/>
      <c r="U828" s="1062"/>
      <c r="V828" s="1063"/>
      <c r="W828" s="1270">
        <v>43919</v>
      </c>
      <c r="X828" s="1271"/>
      <c r="Y828" s="1271"/>
      <c r="Z828" s="1271"/>
      <c r="AA828" s="1271"/>
      <c r="AB828" s="1271"/>
      <c r="AC828" s="127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66">
        <v>565</v>
      </c>
      <c r="X830" s="1266"/>
      <c r="Y830" s="1266"/>
      <c r="Z830" s="1266"/>
      <c r="AA830" s="1266"/>
      <c r="AB830" s="1266"/>
      <c r="AC830" s="126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66"/>
      <c r="X831" s="1266"/>
      <c r="Y831" s="1266"/>
      <c r="Z831" s="1266"/>
      <c r="AA831" s="1266"/>
      <c r="AB831" s="1266"/>
      <c r="AC831" s="126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66">
        <f>22265+8846</f>
        <v>31111</v>
      </c>
      <c r="X832" s="1266"/>
      <c r="Y832" s="1266"/>
      <c r="Z832" s="1266"/>
      <c r="AA832" s="1266"/>
      <c r="AB832" s="1266"/>
      <c r="AC832" s="126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66">
        <v>64319</v>
      </c>
      <c r="X833" s="1266"/>
      <c r="Y833" s="1266"/>
      <c r="Z833" s="1266"/>
      <c r="AA833" s="1266"/>
      <c r="AB833" s="1266"/>
      <c r="AC833" s="126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39">
        <f>SUM(W830:AC833)</f>
        <v>95995</v>
      </c>
      <c r="X834" s="1539"/>
      <c r="Y834" s="1539"/>
      <c r="Z834" s="1539"/>
      <c r="AA834" s="1539"/>
      <c r="AB834" s="1539"/>
      <c r="AC834" s="153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77">
        <v>44470</v>
      </c>
      <c r="X836" s="1278"/>
      <c r="Y836" s="1278"/>
      <c r="Z836" s="1278"/>
      <c r="AA836" s="1278"/>
      <c r="AB836" s="1278"/>
      <c r="AC836" s="127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157"/>
      <c r="U837" s="1158"/>
      <c r="V837" s="115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77"/>
      <c r="X838" s="1278"/>
      <c r="Y838" s="1278"/>
      <c r="Z838" s="1278"/>
      <c r="AA838" s="1278"/>
      <c r="AB838" s="1278"/>
      <c r="AC838" s="127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157"/>
      <c r="U839" s="1158"/>
      <c r="V839" s="115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74" t="s">
        <v>562</v>
      </c>
      <c r="N840" s="1275"/>
      <c r="O840" s="1275"/>
      <c r="P840" s="1275"/>
      <c r="Q840" s="1275"/>
      <c r="R840" s="1275"/>
      <c r="S840" s="1275"/>
      <c r="T840" s="1275"/>
      <c r="U840" s="1275"/>
      <c r="V840" s="1276"/>
      <c r="W840" s="1277"/>
      <c r="X840" s="1278"/>
      <c r="Y840" s="1278"/>
      <c r="Z840" s="1278"/>
      <c r="AA840" s="1278"/>
      <c r="AB840" s="1278"/>
      <c r="AC840" s="127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79">
        <f>SUM(W836:AC840)</f>
        <v>44470</v>
      </c>
      <c r="X841" s="1580"/>
      <c r="Y841" s="1580"/>
      <c r="Z841" s="1580"/>
      <c r="AA841" s="1580"/>
      <c r="AB841" s="1580"/>
      <c r="AC841" s="158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77">
        <v>12920</v>
      </c>
      <c r="X842" s="1278"/>
      <c r="Y842" s="1278"/>
      <c r="Z842" s="1278"/>
      <c r="AA842" s="1278"/>
      <c r="AB842" s="1278"/>
      <c r="AC842" s="127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076">
        <v>1348</v>
      </c>
      <c r="X844" s="1076"/>
      <c r="Y844" s="1076"/>
      <c r="Z844" s="1076"/>
      <c r="AA844" s="1076"/>
      <c r="AB844" s="1076"/>
      <c r="AC844" s="1076"/>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076">
        <v>48545</v>
      </c>
      <c r="X845" s="1076"/>
      <c r="Y845" s="1076"/>
      <c r="Z845" s="1076"/>
      <c r="AA845" s="1076"/>
      <c r="AB845" s="1076"/>
      <c r="AC845" s="107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076">
        <v>28193</v>
      </c>
      <c r="X846" s="1076"/>
      <c r="Y846" s="1076"/>
      <c r="Z846" s="1076"/>
      <c r="AA846" s="1076"/>
      <c r="AB846" s="1076"/>
      <c r="AC846" s="107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076">
        <v>6366</v>
      </c>
      <c r="X847" s="1076"/>
      <c r="Y847" s="1076"/>
      <c r="Z847" s="1076"/>
      <c r="AA847" s="1076"/>
      <c r="AB847" s="1076"/>
      <c r="AC847" s="107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076">
        <v>13955</v>
      </c>
      <c r="X848" s="1076"/>
      <c r="Y848" s="1076"/>
      <c r="Z848" s="1076"/>
      <c r="AA848" s="1076"/>
      <c r="AB848" s="1076"/>
      <c r="AC848" s="107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076"/>
      <c r="X849" s="1076"/>
      <c r="Y849" s="1076"/>
      <c r="Z849" s="1076"/>
      <c r="AA849" s="1076"/>
      <c r="AB849" s="1076"/>
      <c r="AC849" s="107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74" t="s">
        <v>562</v>
      </c>
      <c r="N850" s="1275"/>
      <c r="O850" s="1275"/>
      <c r="P850" s="1275"/>
      <c r="Q850" s="1275"/>
      <c r="R850" s="1275"/>
      <c r="S850" s="1275"/>
      <c r="T850" s="1275"/>
      <c r="U850" s="1275"/>
      <c r="V850" s="1276"/>
      <c r="W850" s="1076"/>
      <c r="X850" s="1076"/>
      <c r="Y850" s="1076"/>
      <c r="Z850" s="1076"/>
      <c r="AA850" s="1076"/>
      <c r="AB850" s="1076"/>
      <c r="AC850" s="107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82">
        <f>SUM(W844:AC850)</f>
        <v>98407</v>
      </c>
      <c r="X851" s="1282"/>
      <c r="Y851" s="1282"/>
      <c r="Z851" s="1282"/>
      <c r="AA851" s="1282"/>
      <c r="AB851" s="1282"/>
      <c r="AC851" s="1282"/>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274" t="s">
        <v>562</v>
      </c>
      <c r="N853" s="1275"/>
      <c r="O853" s="1275"/>
      <c r="P853" s="1275"/>
      <c r="Q853" s="1275"/>
      <c r="R853" s="1275"/>
      <c r="S853" s="1275"/>
      <c r="T853" s="1275"/>
      <c r="U853" s="1275"/>
      <c r="V853" s="1276"/>
      <c r="W853" s="1270"/>
      <c r="X853" s="1271"/>
      <c r="Y853" s="1271"/>
      <c r="Z853" s="1271"/>
      <c r="AA853" s="1271"/>
      <c r="AB853" s="1271"/>
      <c r="AC853" s="127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274" t="s">
        <v>562</v>
      </c>
      <c r="N854" s="1275"/>
      <c r="O854" s="1275"/>
      <c r="P854" s="1275"/>
      <c r="Q854" s="1275"/>
      <c r="R854" s="1275"/>
      <c r="S854" s="1275"/>
      <c r="T854" s="1275"/>
      <c r="U854" s="1275"/>
      <c r="V854" s="1276"/>
      <c r="W854" s="1270"/>
      <c r="X854" s="1271"/>
      <c r="Y854" s="1271"/>
      <c r="Z854" s="1271"/>
      <c r="AA854" s="1271"/>
      <c r="AB854" s="1271"/>
      <c r="AC854" s="127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74" t="s">
        <v>562</v>
      </c>
      <c r="N855" s="1275"/>
      <c r="O855" s="1275"/>
      <c r="P855" s="1275"/>
      <c r="Q855" s="1275"/>
      <c r="R855" s="1275"/>
      <c r="S855" s="1275"/>
      <c r="T855" s="1275"/>
      <c r="U855" s="1275"/>
      <c r="V855" s="1276"/>
      <c r="W855" s="1270"/>
      <c r="X855" s="1271"/>
      <c r="Y855" s="1271"/>
      <c r="Z855" s="1271"/>
      <c r="AA855" s="1271"/>
      <c r="AB855" s="1271"/>
      <c r="AC855" s="127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74" t="s">
        <v>562</v>
      </c>
      <c r="N856" s="1275"/>
      <c r="O856" s="1275"/>
      <c r="P856" s="1275"/>
      <c r="Q856" s="1275"/>
      <c r="R856" s="1275"/>
      <c r="S856" s="1275"/>
      <c r="T856" s="1275"/>
      <c r="U856" s="1275"/>
      <c r="V856" s="1276"/>
      <c r="W856" s="1270"/>
      <c r="X856" s="1271"/>
      <c r="Y856" s="1271"/>
      <c r="Z856" s="1271"/>
      <c r="AA856" s="1271"/>
      <c r="AB856" s="1271"/>
      <c r="AC856" s="127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74" t="s">
        <v>562</v>
      </c>
      <c r="N857" s="1275"/>
      <c r="O857" s="1275"/>
      <c r="P857" s="1275"/>
      <c r="Q857" s="1275"/>
      <c r="R857" s="1275"/>
      <c r="S857" s="1275"/>
      <c r="T857" s="1275"/>
      <c r="U857" s="1275"/>
      <c r="V857" s="1276"/>
      <c r="W857" s="1270"/>
      <c r="X857" s="1271"/>
      <c r="Y857" s="1271"/>
      <c r="Z857" s="1271"/>
      <c r="AA857" s="1271"/>
      <c r="AB857" s="1271"/>
      <c r="AC857" s="127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077">
        <f>SUM(W853:AC857)</f>
        <v>0</v>
      </c>
      <c r="X858" s="1078"/>
      <c r="Y858" s="1078"/>
      <c r="Z858" s="1078"/>
      <c r="AA858" s="1078"/>
      <c r="AB858" s="1078"/>
      <c r="AC858" s="107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077">
        <f>W826+W834+W841+W842+W851+W858+W828</f>
        <v>313600</v>
      </c>
      <c r="AD862" s="1078"/>
      <c r="AE862" s="1078"/>
      <c r="AF862" s="1078"/>
      <c r="AG862" s="1078"/>
      <c r="AH862" s="1079"/>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262">
        <f>O776+O756+G730</f>
        <v>64</v>
      </c>
      <c r="AD863" s="1263"/>
      <c r="AE863" s="1263"/>
      <c r="AF863" s="1263"/>
      <c r="AG863" s="1263"/>
      <c r="AH863" s="1264"/>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553" t="s">
        <v>346</v>
      </c>
      <c r="F864" s="1554"/>
      <c r="G864" s="1554"/>
      <c r="H864" s="1554"/>
      <c r="I864" s="1554"/>
      <c r="J864" s="1554"/>
      <c r="K864" s="1554"/>
      <c r="L864" s="1554"/>
      <c r="M864" s="1554"/>
      <c r="N864" s="1554"/>
      <c r="O864" s="1554"/>
      <c r="P864" s="1554"/>
      <c r="Q864" s="1554"/>
      <c r="R864" s="1554"/>
      <c r="S864" s="1554"/>
      <c r="T864" s="1554"/>
      <c r="U864" s="1554"/>
      <c r="V864" s="1554"/>
      <c r="W864" s="1554"/>
      <c r="X864" s="1554"/>
      <c r="Y864" s="1554"/>
      <c r="Z864" s="1554"/>
      <c r="AA864" s="1554"/>
      <c r="AB864" s="1555"/>
      <c r="AC864" s="1280">
        <f>IF(ISERROR((ROUNDDOWN(AC862/AC863,0))),0,(ROUNDDOWN(AC862/AC863,0)))</f>
        <v>4900</v>
      </c>
      <c r="AD864" s="1281"/>
      <c r="AE864" s="1281"/>
      <c r="AF864" s="1281"/>
      <c r="AG864" s="1281"/>
      <c r="AH864" s="1281"/>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36">
        <f>+'Sources and Uses Budget'!C74</f>
        <v>171211</v>
      </c>
      <c r="AD865" s="1287"/>
      <c r="AE865" s="1287"/>
      <c r="AF865" s="1287"/>
      <c r="AG865" s="1287"/>
      <c r="AH865" s="1287"/>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72"/>
      <c r="AD866" s="1076"/>
      <c r="AE866" s="1076"/>
      <c r="AF866" s="1076"/>
      <c r="AG866" s="1076"/>
      <c r="AH866" s="1076"/>
      <c r="AI866"/>
      <c r="AJ866"/>
      <c r="AK866"/>
      <c r="AL866"/>
      <c r="AM866" s="38"/>
      <c r="AN866" s="38"/>
      <c r="AV866" s="1552"/>
      <c r="AW866" s="1552"/>
      <c r="AX866" s="1552"/>
      <c r="AY866" s="1552"/>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70">
        <v>25000</v>
      </c>
      <c r="AD867" s="1271"/>
      <c r="AE867" s="1271"/>
      <c r="AF867" s="1271"/>
      <c r="AG867" s="1271"/>
      <c r="AH867" s="127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70">
        <v>32000</v>
      </c>
      <c r="AD868" s="1271"/>
      <c r="AE868" s="1271"/>
      <c r="AF868" s="1271"/>
      <c r="AG868" s="1271"/>
      <c r="AH868" s="127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70"/>
      <c r="AD869" s="1271"/>
      <c r="AE869" s="1271"/>
      <c r="AF869" s="1271"/>
      <c r="AG869" s="1271"/>
      <c r="AH869" s="127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70"/>
      <c r="AD870" s="1271"/>
      <c r="AE870" s="1271"/>
      <c r="AF870" s="1271"/>
      <c r="AG870" s="1271"/>
      <c r="AH870" s="127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74"/>
      <c r="AD871" s="1076"/>
      <c r="AE871" s="1076"/>
      <c r="AF871" s="1076"/>
      <c r="AG871" s="1076"/>
      <c r="AH871" s="1076"/>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67" t="s">
        <v>1209</v>
      </c>
      <c r="F872" s="1268"/>
      <c r="G872" s="1268"/>
      <c r="H872" s="1268"/>
      <c r="I872" s="1268"/>
      <c r="J872" s="1268"/>
      <c r="K872" s="1268"/>
      <c r="L872" s="1268"/>
      <c r="M872" s="1268"/>
      <c r="N872" s="1268"/>
      <c r="O872" s="1268"/>
      <c r="P872" s="1268"/>
      <c r="Q872" s="1268"/>
      <c r="R872" s="1268"/>
      <c r="S872" s="1268"/>
      <c r="T872" s="1268"/>
      <c r="U872" s="1268"/>
      <c r="V872" s="1268"/>
      <c r="W872" s="1268"/>
      <c r="X872" s="1268"/>
      <c r="Y872" s="1268"/>
      <c r="Z872" s="1268"/>
      <c r="AA872" s="1268"/>
      <c r="AB872" s="1269"/>
      <c r="AC872" s="1076"/>
      <c r="AD872" s="1076"/>
      <c r="AE872" s="1076"/>
      <c r="AF872" s="1076"/>
      <c r="AG872" s="1076"/>
      <c r="AH872" s="1076"/>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67" t="s">
        <v>1209</v>
      </c>
      <c r="F873" s="1268"/>
      <c r="G873" s="1268"/>
      <c r="H873" s="1268"/>
      <c r="I873" s="1268"/>
      <c r="J873" s="1268"/>
      <c r="K873" s="1268"/>
      <c r="L873" s="1268"/>
      <c r="M873" s="1268"/>
      <c r="N873" s="1268"/>
      <c r="O873" s="1268"/>
      <c r="P873" s="1268"/>
      <c r="Q873" s="1268"/>
      <c r="R873" s="1268"/>
      <c r="S873" s="1268"/>
      <c r="T873" s="1268"/>
      <c r="U873" s="1268"/>
      <c r="V873" s="1268"/>
      <c r="W873" s="1268"/>
      <c r="X873" s="1268"/>
      <c r="Y873" s="1268"/>
      <c r="Z873" s="1268"/>
      <c r="AA873" s="1268"/>
      <c r="AB873" s="1269"/>
      <c r="AC873" s="1076"/>
      <c r="AD873" s="1076"/>
      <c r="AE873" s="1076"/>
      <c r="AF873" s="1076"/>
      <c r="AG873" s="1076"/>
      <c r="AH873" s="1076"/>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86"/>
      <c r="AD874" s="1286"/>
      <c r="AE874" s="1286"/>
      <c r="AF874" s="1286"/>
      <c r="AG874" s="1286"/>
      <c r="AH874" s="1286"/>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72"/>
      <c r="AO875" s="1572"/>
      <c r="AP875" s="1552"/>
      <c r="AQ875" s="1552"/>
      <c r="AR875" s="1552"/>
      <c r="AS875" s="1552"/>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52"/>
      <c r="AQ876" s="1552"/>
      <c r="AR876" s="1552"/>
      <c r="AS876" s="1552"/>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70"/>
      <c r="AA877" s="1271"/>
      <c r="AB877" s="1271"/>
      <c r="AC877" s="1271"/>
      <c r="AD877" s="1271"/>
      <c r="AE877" s="127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70"/>
      <c r="AA878" s="1271"/>
      <c r="AB878" s="1271"/>
      <c r="AC878" s="1271"/>
      <c r="AD878" s="1271"/>
      <c r="AE878" s="127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70"/>
      <c r="AA879" s="1271"/>
      <c r="AB879" s="1271"/>
      <c r="AC879" s="1271"/>
      <c r="AD879" s="1271"/>
      <c r="AE879" s="127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077">
        <f>Z877-(Z878+Z879)</f>
        <v>0</v>
      </c>
      <c r="AA880" s="1078"/>
      <c r="AB880" s="1078"/>
      <c r="AC880" s="1078"/>
      <c r="AD880" s="1078"/>
      <c r="AE880" s="1079"/>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160" t="s">
        <v>128</v>
      </c>
      <c r="B887" s="1160"/>
      <c r="C887" s="1160"/>
      <c r="D887" s="1160"/>
      <c r="E887" s="1160"/>
      <c r="F887" s="1160"/>
      <c r="G887" s="1160"/>
      <c r="H887" s="1160"/>
      <c r="I887" s="1160"/>
      <c r="J887" s="1160"/>
      <c r="K887" s="1160"/>
      <c r="L887" s="1160"/>
      <c r="M887" s="1160"/>
      <c r="N887" s="1160"/>
      <c r="O887" s="1160"/>
      <c r="P887" s="1160"/>
      <c r="Q887" s="1160"/>
      <c r="R887" s="1160"/>
      <c r="S887" s="1160"/>
      <c r="T887" s="1160"/>
      <c r="U887" s="1160"/>
      <c r="V887" s="1160"/>
      <c r="W887" s="1160"/>
      <c r="X887" s="1160"/>
      <c r="Y887" s="1160"/>
      <c r="Z887" s="1160"/>
      <c r="AA887" s="1160"/>
      <c r="AB887" s="1160"/>
      <c r="AC887" s="1160"/>
      <c r="AD887" s="1160"/>
      <c r="AE887" s="1160"/>
      <c r="AF887" s="1160"/>
      <c r="AG887" s="1160"/>
      <c r="AH887" s="1160"/>
      <c r="AI887" s="1160"/>
      <c r="AJ887" s="1160"/>
      <c r="AK887" s="1160"/>
      <c r="AL887" s="1160"/>
      <c r="AM887" s="1160"/>
      <c r="AN887" s="1160"/>
      <c r="AO887" s="1160"/>
      <c r="AP887" s="1160"/>
      <c r="AQ887" s="1160"/>
      <c r="AR887" s="1160"/>
      <c r="AS887" s="1160"/>
      <c r="AT887" s="1160"/>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160"/>
      <c r="B888" s="1160"/>
      <c r="C888" s="1160"/>
      <c r="D888" s="1160"/>
      <c r="E888" s="1160"/>
      <c r="F888" s="1160"/>
      <c r="G888" s="1160"/>
      <c r="H888" s="1160"/>
      <c r="I888" s="1160"/>
      <c r="J888" s="1160"/>
      <c r="K888" s="1160"/>
      <c r="L888" s="1160"/>
      <c r="M888" s="1160"/>
      <c r="N888" s="1160"/>
      <c r="O888" s="1160"/>
      <c r="P888" s="1160"/>
      <c r="Q888" s="1160"/>
      <c r="R888" s="1160"/>
      <c r="S888" s="1160"/>
      <c r="T888" s="1160"/>
      <c r="U888" s="1160"/>
      <c r="V888" s="1160"/>
      <c r="W888" s="1160"/>
      <c r="X888" s="1160"/>
      <c r="Y888" s="1160"/>
      <c r="Z888" s="1160"/>
      <c r="AA888" s="1160"/>
      <c r="AB888" s="1160"/>
      <c r="AC888" s="1160"/>
      <c r="AD888" s="1160"/>
      <c r="AE888" s="1160"/>
      <c r="AF888" s="1160"/>
      <c r="AG888" s="1160"/>
      <c r="AH888" s="1160"/>
      <c r="AI888" s="1160"/>
      <c r="AJ888" s="1160"/>
      <c r="AK888" s="1160"/>
      <c r="AL888" s="1160"/>
      <c r="AM888" s="1160"/>
      <c r="AN888" s="1160"/>
      <c r="AO888" s="1160"/>
      <c r="AP888" s="1160"/>
      <c r="AQ888" s="1160"/>
      <c r="AR888" s="1160"/>
      <c r="AS888" s="1160"/>
      <c r="AT888" s="1160"/>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73" t="s">
        <v>961</v>
      </c>
      <c r="G892" s="1574"/>
      <c r="H892" s="1574"/>
      <c r="I892" s="1574"/>
      <c r="J892" s="1574"/>
      <c r="K892" s="1574"/>
      <c r="L892" s="1574"/>
      <c r="M892" s="1574"/>
      <c r="N892" s="1574"/>
      <c r="O892" s="1574"/>
      <c r="P892" s="1574"/>
      <c r="Q892" s="1574"/>
      <c r="R892" s="1574"/>
      <c r="S892" s="1574"/>
      <c r="T892" s="1575"/>
      <c r="U892" s="1578" t="s">
        <v>345</v>
      </c>
      <c r="V892" s="1576"/>
      <c r="W892" s="1576"/>
      <c r="X892" s="1576"/>
      <c r="Y892" s="1576"/>
      <c r="Z892" s="157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66" t="s">
        <v>1039</v>
      </c>
      <c r="G893" s="1567"/>
      <c r="H893" s="1567"/>
      <c r="I893" s="1567"/>
      <c r="J893" s="1567"/>
      <c r="K893" s="1567"/>
      <c r="L893" s="1567"/>
      <c r="M893" s="1567"/>
      <c r="N893" s="1567"/>
      <c r="O893" s="1567"/>
      <c r="P893" s="1567"/>
      <c r="Q893" s="1567"/>
      <c r="R893" s="1567"/>
      <c r="S893" s="1567"/>
      <c r="T893" s="1568"/>
      <c r="U893" s="1566"/>
      <c r="V893" s="1567"/>
      <c r="W893" s="1567"/>
      <c r="X893" s="1567"/>
      <c r="Y893" s="1567"/>
      <c r="Z893" s="156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69"/>
      <c r="G894" s="1570"/>
      <c r="H894" s="1570"/>
      <c r="I894" s="1570"/>
      <c r="J894" s="1570"/>
      <c r="K894" s="1570"/>
      <c r="L894" s="1570"/>
      <c r="M894" s="1570"/>
      <c r="N894" s="1570"/>
      <c r="O894" s="1570"/>
      <c r="P894" s="1570"/>
      <c r="Q894" s="1570"/>
      <c r="R894" s="1570"/>
      <c r="S894" s="1570"/>
      <c r="T894" s="1571"/>
      <c r="U894" s="1569"/>
      <c r="V894" s="1570"/>
      <c r="W894" s="1570"/>
      <c r="X894" s="1570"/>
      <c r="Y894" s="1570"/>
      <c r="Z894" s="1570"/>
      <c r="AA894" s="198"/>
      <c r="AB894" s="1265" t="s">
        <v>56</v>
      </c>
      <c r="AC894" s="1265"/>
      <c r="AD894" s="1265"/>
      <c r="AE894" s="126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143" t="s">
        <v>158</v>
      </c>
      <c r="G895" s="1144"/>
      <c r="H895" s="1144"/>
      <c r="I895" s="1144"/>
      <c r="J895" s="1144"/>
      <c r="K895" s="1144"/>
      <c r="L895" s="1144"/>
      <c r="M895" s="1144"/>
      <c r="N895" s="1144"/>
      <c r="O895" s="1144"/>
      <c r="P895" s="1144"/>
      <c r="Q895" s="1144"/>
      <c r="R895" s="1144"/>
      <c r="S895" s="1144"/>
      <c r="T895" s="1145"/>
      <c r="U895" s="1149" t="s">
        <v>124</v>
      </c>
      <c r="V895" s="1132"/>
      <c r="W895" s="1132"/>
      <c r="X895" s="1132"/>
      <c r="Y895" s="1132"/>
      <c r="Z895" s="1150"/>
      <c r="AA895" s="1134"/>
      <c r="AB895" s="1135"/>
      <c r="AC895" s="1135"/>
      <c r="AD895" s="1135"/>
      <c r="AE895" s="1135"/>
      <c r="AF895" s="113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143" t="s">
        <v>160</v>
      </c>
      <c r="G896" s="1144"/>
      <c r="H896" s="1144"/>
      <c r="I896" s="1144"/>
      <c r="J896" s="1144"/>
      <c r="K896" s="1144"/>
      <c r="L896" s="1144"/>
      <c r="M896" s="1144"/>
      <c r="N896" s="1144"/>
      <c r="O896" s="1144"/>
      <c r="P896" s="1144"/>
      <c r="Q896" s="1144"/>
      <c r="R896" s="1144"/>
      <c r="S896" s="1144"/>
      <c r="T896" s="1145"/>
      <c r="U896" s="1149" t="s">
        <v>108</v>
      </c>
      <c r="V896" s="1132"/>
      <c r="W896" s="1132"/>
      <c r="X896" s="1132"/>
      <c r="Y896" s="1132"/>
      <c r="Z896" s="1150"/>
      <c r="AA896" s="1134">
        <f>+AM550</f>
        <v>6230384</v>
      </c>
      <c r="AB896" s="1135"/>
      <c r="AC896" s="1135"/>
      <c r="AD896" s="1135"/>
      <c r="AE896" s="1135"/>
      <c r="AF896" s="113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146" t="s">
        <v>946</v>
      </c>
      <c r="G897" s="1147"/>
      <c r="H897" s="1147"/>
      <c r="I897" s="1147"/>
      <c r="J897" s="1147"/>
      <c r="K897" s="1147"/>
      <c r="L897" s="1147"/>
      <c r="M897" s="1147"/>
      <c r="N897" s="1147"/>
      <c r="O897" s="1147"/>
      <c r="P897" s="1147"/>
      <c r="Q897" s="1147"/>
      <c r="R897" s="1147"/>
      <c r="S897" s="1147"/>
      <c r="T897" s="1148"/>
      <c r="U897" s="1149" t="s">
        <v>124</v>
      </c>
      <c r="V897" s="1132"/>
      <c r="W897" s="1132"/>
      <c r="X897" s="1132"/>
      <c r="Y897" s="1132"/>
      <c r="Z897" s="1150"/>
      <c r="AA897" s="1134"/>
      <c r="AB897" s="1135"/>
      <c r="AC897" s="1135"/>
      <c r="AD897" s="1135"/>
      <c r="AE897" s="1135"/>
      <c r="AF897" s="113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146" t="s">
        <v>947</v>
      </c>
      <c r="G898" s="1147"/>
      <c r="H898" s="1147"/>
      <c r="I898" s="1147"/>
      <c r="J898" s="1147"/>
      <c r="K898" s="1147"/>
      <c r="L898" s="1147"/>
      <c r="M898" s="1147"/>
      <c r="N898" s="1147"/>
      <c r="O898" s="1147"/>
      <c r="P898" s="1147"/>
      <c r="Q898" s="1147"/>
      <c r="R898" s="1147"/>
      <c r="S898" s="1147"/>
      <c r="T898" s="1148"/>
      <c r="U898" s="1149" t="s">
        <v>124</v>
      </c>
      <c r="V898" s="1132"/>
      <c r="W898" s="1132"/>
      <c r="X898" s="1132"/>
      <c r="Y898" s="1132"/>
      <c r="Z898" s="1150"/>
      <c r="AA898" s="1134"/>
      <c r="AB898" s="1135"/>
      <c r="AC898" s="1135"/>
      <c r="AD898" s="1135"/>
      <c r="AE898" s="1135"/>
      <c r="AF898" s="113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146" t="s">
        <v>948</v>
      </c>
      <c r="G899" s="1147"/>
      <c r="H899" s="1147"/>
      <c r="I899" s="1147"/>
      <c r="J899" s="1147"/>
      <c r="K899" s="1147"/>
      <c r="L899" s="1147"/>
      <c r="M899" s="1147"/>
      <c r="N899" s="1147"/>
      <c r="O899" s="1147"/>
      <c r="P899" s="1147"/>
      <c r="Q899" s="1147"/>
      <c r="R899" s="1147"/>
      <c r="S899" s="1147"/>
      <c r="T899" s="1148"/>
      <c r="U899" s="1149" t="s">
        <v>124</v>
      </c>
      <c r="V899" s="1132"/>
      <c r="W899" s="1132"/>
      <c r="X899" s="1132"/>
      <c r="Y899" s="1132"/>
      <c r="Z899" s="1150"/>
      <c r="AA899" s="1134"/>
      <c r="AB899" s="1135"/>
      <c r="AC899" s="1135"/>
      <c r="AD899" s="1135"/>
      <c r="AE899" s="1135"/>
      <c r="AF899" s="113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143" t="s">
        <v>159</v>
      </c>
      <c r="G900" s="1144"/>
      <c r="H900" s="1144"/>
      <c r="I900" s="1144"/>
      <c r="J900" s="1144"/>
      <c r="K900" s="1144"/>
      <c r="L900" s="1144"/>
      <c r="M900" s="1144"/>
      <c r="N900" s="1144"/>
      <c r="O900" s="1144"/>
      <c r="P900" s="1144"/>
      <c r="Q900" s="1144"/>
      <c r="R900" s="1144"/>
      <c r="S900" s="1144"/>
      <c r="T900" s="1145"/>
      <c r="U900" s="1149" t="s">
        <v>124</v>
      </c>
      <c r="V900" s="1132"/>
      <c r="W900" s="1132"/>
      <c r="X900" s="1132"/>
      <c r="Y900" s="1132"/>
      <c r="Z900" s="1150"/>
      <c r="AA900" s="1134"/>
      <c r="AB900" s="1135"/>
      <c r="AC900" s="1135"/>
      <c r="AD900" s="1135"/>
      <c r="AE900" s="1135"/>
      <c r="AF900" s="113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143" t="s">
        <v>2286</v>
      </c>
      <c r="G901" s="1144"/>
      <c r="H901" s="1144"/>
      <c r="I901" s="1144"/>
      <c r="J901" s="1144"/>
      <c r="K901" s="1144"/>
      <c r="L901" s="1144"/>
      <c r="M901" s="1144"/>
      <c r="N901" s="1144"/>
      <c r="O901" s="1144"/>
      <c r="P901" s="1144"/>
      <c r="Q901" s="1144"/>
      <c r="R901" s="1144"/>
      <c r="S901" s="1144"/>
      <c r="T901" s="1145"/>
      <c r="U901" s="1149" t="s">
        <v>124</v>
      </c>
      <c r="V901" s="1132"/>
      <c r="W901" s="1132"/>
      <c r="X901" s="1132"/>
      <c r="Y901" s="1132"/>
      <c r="Z901" s="1150"/>
      <c r="AA901" s="1134"/>
      <c r="AB901" s="1135"/>
      <c r="AC901" s="1135"/>
      <c r="AD901" s="1135"/>
      <c r="AE901" s="1135"/>
      <c r="AF901" s="113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143" t="s">
        <v>161</v>
      </c>
      <c r="G902" s="1144"/>
      <c r="H902" s="1144"/>
      <c r="I902" s="1144"/>
      <c r="J902" s="1144"/>
      <c r="K902" s="1144"/>
      <c r="L902" s="1144"/>
      <c r="M902" s="1144"/>
      <c r="N902" s="1144"/>
      <c r="O902" s="1144"/>
      <c r="P902" s="1144"/>
      <c r="Q902" s="1144"/>
      <c r="R902" s="1144"/>
      <c r="S902" s="1144"/>
      <c r="T902" s="1145"/>
      <c r="U902" s="1149" t="s">
        <v>124</v>
      </c>
      <c r="V902" s="1132"/>
      <c r="W902" s="1132"/>
      <c r="X902" s="1132"/>
      <c r="Y902" s="1132"/>
      <c r="Z902" s="1150"/>
      <c r="AA902" s="1134"/>
      <c r="AB902" s="1135"/>
      <c r="AC902" s="1135"/>
      <c r="AD902" s="1135"/>
      <c r="AE902" s="1135"/>
      <c r="AF902" s="113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143" t="s">
        <v>2283</v>
      </c>
      <c r="G903" s="1144"/>
      <c r="H903" s="1144"/>
      <c r="I903" s="1144"/>
      <c r="J903" s="1144"/>
      <c r="K903" s="1144"/>
      <c r="L903" s="1144"/>
      <c r="M903" s="1144"/>
      <c r="N903" s="1144"/>
      <c r="O903" s="1144"/>
      <c r="P903" s="1144"/>
      <c r="Q903" s="1144"/>
      <c r="R903" s="1144"/>
      <c r="S903" s="1144"/>
      <c r="T903" s="1145"/>
      <c r="U903" s="1149" t="s">
        <v>124</v>
      </c>
      <c r="V903" s="1132"/>
      <c r="W903" s="1132"/>
      <c r="X903" s="1132"/>
      <c r="Y903" s="1132"/>
      <c r="Z903" s="1150"/>
      <c r="AA903" s="1134"/>
      <c r="AB903" s="1135"/>
      <c r="AC903" s="1135"/>
      <c r="AD903" s="1135"/>
      <c r="AE903" s="1135"/>
      <c r="AF903" s="113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143" t="s">
        <v>2284</v>
      </c>
      <c r="G904" s="1144"/>
      <c r="H904" s="1144"/>
      <c r="I904" s="1144"/>
      <c r="J904" s="1144"/>
      <c r="K904" s="1144"/>
      <c r="L904" s="1144"/>
      <c r="M904" s="1144"/>
      <c r="N904" s="1144"/>
      <c r="O904" s="1144"/>
      <c r="P904" s="1144"/>
      <c r="Q904" s="1144"/>
      <c r="R904" s="1144"/>
      <c r="S904" s="1144"/>
      <c r="T904" s="1145"/>
      <c r="U904" s="1149" t="s">
        <v>124</v>
      </c>
      <c r="V904" s="1132"/>
      <c r="W904" s="1132"/>
      <c r="X904" s="1132"/>
      <c r="Y904" s="1132"/>
      <c r="Z904" s="1150"/>
      <c r="AA904" s="1134"/>
      <c r="AB904" s="1135"/>
      <c r="AC904" s="1135"/>
      <c r="AD904" s="1135"/>
      <c r="AE904" s="1135"/>
      <c r="AF904" s="113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143" t="s">
        <v>2285</v>
      </c>
      <c r="G905" s="1144"/>
      <c r="H905" s="1144"/>
      <c r="I905" s="1144"/>
      <c r="J905" s="1144"/>
      <c r="K905" s="1144"/>
      <c r="L905" s="1144"/>
      <c r="M905" s="1144"/>
      <c r="N905" s="1144"/>
      <c r="O905" s="1144"/>
      <c r="P905" s="1144"/>
      <c r="Q905" s="1144"/>
      <c r="R905" s="1144"/>
      <c r="S905" s="1144"/>
      <c r="T905" s="1145"/>
      <c r="U905" s="1149" t="s">
        <v>124</v>
      </c>
      <c r="V905" s="1132"/>
      <c r="W905" s="1132"/>
      <c r="X905" s="1132"/>
      <c r="Y905" s="1132"/>
      <c r="Z905" s="1150"/>
      <c r="AA905" s="1134"/>
      <c r="AB905" s="1135"/>
      <c r="AC905" s="1135"/>
      <c r="AD905" s="1135"/>
      <c r="AE905" s="1135"/>
      <c r="AF905" s="113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143" t="s">
        <v>2279</v>
      </c>
      <c r="G906" s="1144"/>
      <c r="H906" s="1144"/>
      <c r="I906" s="1144"/>
      <c r="J906" s="1144"/>
      <c r="K906" s="1144"/>
      <c r="L906" s="1144"/>
      <c r="M906" s="1144"/>
      <c r="N906" s="1144"/>
      <c r="O906" s="1144"/>
      <c r="P906" s="1144"/>
      <c r="Q906" s="1144"/>
      <c r="R906" s="1144"/>
      <c r="S906" s="1144"/>
      <c r="T906" s="1145"/>
      <c r="U906" s="1149" t="s">
        <v>124</v>
      </c>
      <c r="V906" s="1132"/>
      <c r="W906" s="1132"/>
      <c r="X906" s="1132"/>
      <c r="Y906" s="1132"/>
      <c r="Z906" s="1150"/>
      <c r="AA906" s="1134"/>
      <c r="AB906" s="1135"/>
      <c r="AC906" s="1135"/>
      <c r="AD906" s="1135"/>
      <c r="AE906" s="1135"/>
      <c r="AF906" s="113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143" t="s">
        <v>2276</v>
      </c>
      <c r="G907" s="1144"/>
      <c r="H907" s="1144"/>
      <c r="I907" s="1144"/>
      <c r="J907" s="1144"/>
      <c r="K907" s="1144"/>
      <c r="L907" s="1144"/>
      <c r="M907" s="1144"/>
      <c r="N907" s="1144"/>
      <c r="O907" s="1144"/>
      <c r="P907" s="1144"/>
      <c r="Q907" s="1144"/>
      <c r="R907" s="1144"/>
      <c r="S907" s="1144"/>
      <c r="T907" s="1145"/>
      <c r="U907" s="1149" t="s">
        <v>124</v>
      </c>
      <c r="V907" s="1132"/>
      <c r="W907" s="1132"/>
      <c r="X907" s="1132"/>
      <c r="Y907" s="1132"/>
      <c r="Z907" s="1150"/>
      <c r="AA907" s="1134"/>
      <c r="AB907" s="1135"/>
      <c r="AC907" s="1135"/>
      <c r="AD907" s="1135"/>
      <c r="AE907" s="1135"/>
      <c r="AF907" s="113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140" t="s">
        <v>157</v>
      </c>
      <c r="G908" s="1141"/>
      <c r="H908" s="1141"/>
      <c r="I908" s="1141"/>
      <c r="J908" s="1141"/>
      <c r="K908" s="1141"/>
      <c r="L908" s="1141"/>
      <c r="M908" s="1141"/>
      <c r="N908" s="1141"/>
      <c r="O908" s="1141"/>
      <c r="P908" s="1141"/>
      <c r="Q908" s="1141"/>
      <c r="R908" s="1141"/>
      <c r="S908" s="1141"/>
      <c r="T908" s="1142"/>
      <c r="U908" s="1149" t="s">
        <v>124</v>
      </c>
      <c r="V908" s="1132"/>
      <c r="W908" s="1132"/>
      <c r="X908" s="1132"/>
      <c r="Y908" s="1132"/>
      <c r="Z908" s="1150"/>
      <c r="AA908" s="1134"/>
      <c r="AB908" s="1135"/>
      <c r="AC908" s="1135"/>
      <c r="AD908" s="1135"/>
      <c r="AE908" s="1135"/>
      <c r="AF908" s="113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143" t="s">
        <v>1904</v>
      </c>
      <c r="G909" s="1144"/>
      <c r="H909" s="1144"/>
      <c r="I909" s="1144"/>
      <c r="J909" s="1144"/>
      <c r="K909" s="1144"/>
      <c r="L909" s="1144"/>
      <c r="M909" s="1144"/>
      <c r="N909" s="1144"/>
      <c r="O909" s="1144"/>
      <c r="P909" s="1144"/>
      <c r="Q909" s="1144"/>
      <c r="R909" s="1144"/>
      <c r="S909" s="1144"/>
      <c r="T909" s="1145"/>
      <c r="U909" s="1149" t="s">
        <v>124</v>
      </c>
      <c r="V909" s="1132"/>
      <c r="W909" s="1132"/>
      <c r="X909" s="1132"/>
      <c r="Y909" s="1132"/>
      <c r="Z909" s="1150"/>
      <c r="AA909" s="1134"/>
      <c r="AB909" s="1135"/>
      <c r="AC909" s="1135"/>
      <c r="AD909" s="1135"/>
      <c r="AE909" s="1135"/>
      <c r="AF909" s="113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146" t="s">
        <v>1008</v>
      </c>
      <c r="G910" s="1147"/>
      <c r="H910" s="1147"/>
      <c r="I910" s="1147"/>
      <c r="J910" s="1147"/>
      <c r="K910" s="1147"/>
      <c r="L910" s="1147"/>
      <c r="M910" s="1147"/>
      <c r="N910" s="1147"/>
      <c r="O910" s="1147"/>
      <c r="P910" s="1147"/>
      <c r="Q910" s="1147"/>
      <c r="R910" s="1147"/>
      <c r="S910" s="1147"/>
      <c r="T910" s="1148"/>
      <c r="U910" s="1149" t="s">
        <v>124</v>
      </c>
      <c r="V910" s="1132"/>
      <c r="W910" s="1132"/>
      <c r="X910" s="1132"/>
      <c r="Y910" s="1132"/>
      <c r="Z910" s="1150"/>
      <c r="AA910" s="1134"/>
      <c r="AB910" s="1135"/>
      <c r="AC910" s="1135"/>
      <c r="AD910" s="1135"/>
      <c r="AE910" s="1135"/>
      <c r="AF910" s="113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137" t="s">
        <v>2287</v>
      </c>
      <c r="G911" s="1138"/>
      <c r="H911" s="1138"/>
      <c r="I911" s="1138"/>
      <c r="J911" s="1138"/>
      <c r="K911" s="1138"/>
      <c r="L911" s="1138"/>
      <c r="M911" s="1138"/>
      <c r="N911" s="1138"/>
      <c r="O911" s="1138"/>
      <c r="P911" s="1138"/>
      <c r="Q911" s="1138"/>
      <c r="R911" s="1138"/>
      <c r="S911" s="1138"/>
      <c r="T911" s="1139"/>
      <c r="U911" s="1149" t="s">
        <v>124</v>
      </c>
      <c r="V911" s="1132"/>
      <c r="W911" s="1132"/>
      <c r="X911" s="1132"/>
      <c r="Y911" s="1132"/>
      <c r="Z911" s="1150"/>
      <c r="AA911" s="1134"/>
      <c r="AB911" s="1135"/>
      <c r="AC911" s="1135"/>
      <c r="AD911" s="1135"/>
      <c r="AE911" s="1135"/>
      <c r="AF911" s="113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137" t="s">
        <v>2289</v>
      </c>
      <c r="G912" s="1138"/>
      <c r="H912" s="1138"/>
      <c r="I912" s="1138"/>
      <c r="J912" s="1138"/>
      <c r="K912" s="1138"/>
      <c r="L912" s="1138"/>
      <c r="M912" s="1138"/>
      <c r="N912" s="1138"/>
      <c r="O912" s="1138"/>
      <c r="P912" s="1138"/>
      <c r="Q912" s="1138"/>
      <c r="R912" s="1138"/>
      <c r="S912" s="1138"/>
      <c r="T912" s="1139"/>
      <c r="U912" s="1149" t="s">
        <v>124</v>
      </c>
      <c r="V912" s="1132"/>
      <c r="W912" s="1132"/>
      <c r="X912" s="1132"/>
      <c r="Y912" s="1132"/>
      <c r="Z912" s="1150"/>
      <c r="AA912" s="1134"/>
      <c r="AB912" s="1135"/>
      <c r="AC912" s="1135"/>
      <c r="AD912" s="1135"/>
      <c r="AE912" s="1135"/>
      <c r="AF912" s="113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143" t="s">
        <v>2277</v>
      </c>
      <c r="G913" s="1144"/>
      <c r="H913" s="1144"/>
      <c r="I913" s="1144"/>
      <c r="J913" s="1144"/>
      <c r="K913" s="1144"/>
      <c r="L913" s="1144"/>
      <c r="M913" s="1144"/>
      <c r="N913" s="1144"/>
      <c r="O913" s="1144"/>
      <c r="P913" s="1144"/>
      <c r="Q913" s="1144"/>
      <c r="R913" s="1144"/>
      <c r="S913" s="1144"/>
      <c r="T913" s="1145"/>
      <c r="U913" s="1154" t="s">
        <v>124</v>
      </c>
      <c r="V913" s="1155"/>
      <c r="W913" s="1155"/>
      <c r="X913" s="1155"/>
      <c r="Y913" s="1155"/>
      <c r="Z913" s="1156"/>
      <c r="AA913" s="1151"/>
      <c r="AB913" s="1152"/>
      <c r="AC913" s="1152"/>
      <c r="AD913" s="1152"/>
      <c r="AE913" s="1152"/>
      <c r="AF913" s="1153"/>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143" t="s">
        <v>2281</v>
      </c>
      <c r="G914" s="1144"/>
      <c r="H914" s="1144"/>
      <c r="I914" s="1144"/>
      <c r="J914" s="1144"/>
      <c r="K914" s="1144"/>
      <c r="L914" s="1144"/>
      <c r="M914" s="1144"/>
      <c r="N914" s="1144"/>
      <c r="O914" s="1144"/>
      <c r="P914" s="1144"/>
      <c r="Q914" s="1144"/>
      <c r="R914" s="1144"/>
      <c r="S914" s="1144"/>
      <c r="T914" s="1145"/>
      <c r="U914" s="1154" t="s">
        <v>124</v>
      </c>
      <c r="V914" s="1155"/>
      <c r="W914" s="1155"/>
      <c r="X914" s="1155"/>
      <c r="Y914" s="1155"/>
      <c r="Z914" s="1156"/>
      <c r="AA914" s="1151"/>
      <c r="AB914" s="1152"/>
      <c r="AC914" s="1152"/>
      <c r="AD914" s="1152"/>
      <c r="AE914" s="1152"/>
      <c r="AF914" s="1153"/>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143" t="s">
        <v>2278</v>
      </c>
      <c r="G915" s="1144"/>
      <c r="H915" s="1144"/>
      <c r="I915" s="1144"/>
      <c r="J915" s="1144"/>
      <c r="K915" s="1144"/>
      <c r="L915" s="1144"/>
      <c r="M915" s="1144"/>
      <c r="N915" s="1144"/>
      <c r="O915" s="1144"/>
      <c r="P915" s="1144"/>
      <c r="Q915" s="1144"/>
      <c r="R915" s="1144"/>
      <c r="S915" s="1144"/>
      <c r="T915" s="1145"/>
      <c r="U915" s="1154" t="s">
        <v>124</v>
      </c>
      <c r="V915" s="1155"/>
      <c r="W915" s="1155"/>
      <c r="X915" s="1155"/>
      <c r="Y915" s="1155"/>
      <c r="Z915" s="1156"/>
      <c r="AA915" s="1151"/>
      <c r="AB915" s="1152"/>
      <c r="AC915" s="1152"/>
      <c r="AD915" s="1152"/>
      <c r="AE915" s="1152"/>
      <c r="AF915" s="1153"/>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137" t="s">
        <v>1902</v>
      </c>
      <c r="G916" s="1138"/>
      <c r="H916" s="1138"/>
      <c r="I916" s="1138"/>
      <c r="J916" s="1138"/>
      <c r="K916" s="1138"/>
      <c r="L916" s="1138"/>
      <c r="M916" s="1138"/>
      <c r="N916" s="1138"/>
      <c r="O916" s="1138"/>
      <c r="P916" s="1138"/>
      <c r="Q916" s="1138"/>
      <c r="R916" s="1138"/>
      <c r="S916" s="1138"/>
      <c r="T916" s="1139"/>
      <c r="U916" s="1149" t="s">
        <v>124</v>
      </c>
      <c r="V916" s="1132"/>
      <c r="W916" s="1132"/>
      <c r="X916" s="1132"/>
      <c r="Y916" s="1132"/>
      <c r="Z916" s="1150"/>
      <c r="AA916" s="1134"/>
      <c r="AB916" s="1135"/>
      <c r="AC916" s="1135"/>
      <c r="AD916" s="1135"/>
      <c r="AE916" s="1135"/>
      <c r="AF916" s="113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137" t="s">
        <v>2290</v>
      </c>
      <c r="G917" s="1138"/>
      <c r="H917" s="1138"/>
      <c r="I917" s="1138"/>
      <c r="J917" s="1138"/>
      <c r="K917" s="1138"/>
      <c r="L917" s="1138"/>
      <c r="M917" s="1138"/>
      <c r="N917" s="1138"/>
      <c r="O917" s="1138"/>
      <c r="P917" s="1138"/>
      <c r="Q917" s="1138"/>
      <c r="R917" s="1138"/>
      <c r="S917" s="1138"/>
      <c r="T917" s="1139"/>
      <c r="U917" s="1149" t="s">
        <v>124</v>
      </c>
      <c r="V917" s="1132"/>
      <c r="W917" s="1132"/>
      <c r="X917" s="1132"/>
      <c r="Y917" s="1132"/>
      <c r="Z917" s="1150"/>
      <c r="AA917" s="1134"/>
      <c r="AB917" s="1135"/>
      <c r="AC917" s="1135"/>
      <c r="AD917" s="1135"/>
      <c r="AE917" s="1135"/>
      <c r="AF917" s="113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137" t="s">
        <v>1903</v>
      </c>
      <c r="G918" s="1138"/>
      <c r="H918" s="1138"/>
      <c r="I918" s="1138"/>
      <c r="J918" s="1138"/>
      <c r="K918" s="1138"/>
      <c r="L918" s="1138"/>
      <c r="M918" s="1138"/>
      <c r="N918" s="1138"/>
      <c r="O918" s="1138"/>
      <c r="P918" s="1138"/>
      <c r="Q918" s="1138"/>
      <c r="R918" s="1138"/>
      <c r="S918" s="1138"/>
      <c r="T918" s="1139"/>
      <c r="U918" s="1149" t="s">
        <v>124</v>
      </c>
      <c r="V918" s="1132"/>
      <c r="W918" s="1132"/>
      <c r="X918" s="1132"/>
      <c r="Y918" s="1132"/>
      <c r="Z918" s="1150"/>
      <c r="AA918" s="1134"/>
      <c r="AB918" s="1135"/>
      <c r="AC918" s="1135"/>
      <c r="AD918" s="1135"/>
      <c r="AE918" s="1135"/>
      <c r="AF918" s="113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137" t="s">
        <v>156</v>
      </c>
      <c r="G919" s="1138"/>
      <c r="H919" s="1138"/>
      <c r="I919" s="1138"/>
      <c r="J919" s="1138"/>
      <c r="K919" s="1138"/>
      <c r="L919" s="1138"/>
      <c r="M919" s="1138"/>
      <c r="N919" s="1138"/>
      <c r="O919" s="1138"/>
      <c r="P919" s="1138"/>
      <c r="Q919" s="1138"/>
      <c r="R919" s="1138"/>
      <c r="S919" s="1138"/>
      <c r="T919" s="1139"/>
      <c r="U919" s="1149" t="s">
        <v>124</v>
      </c>
      <c r="V919" s="1132"/>
      <c r="W919" s="1132"/>
      <c r="X919" s="1132"/>
      <c r="Y919" s="1132"/>
      <c r="Z919" s="1150"/>
      <c r="AA919" s="1134"/>
      <c r="AB919" s="1135"/>
      <c r="AC919" s="1135"/>
      <c r="AD919" s="1135"/>
      <c r="AE919" s="1135"/>
      <c r="AF919" s="113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137" t="s">
        <v>2288</v>
      </c>
      <c r="G920" s="1138"/>
      <c r="H920" s="1138"/>
      <c r="I920" s="1138"/>
      <c r="J920" s="1138"/>
      <c r="K920" s="1138"/>
      <c r="L920" s="1138"/>
      <c r="M920" s="1138"/>
      <c r="N920" s="1138"/>
      <c r="O920" s="1138"/>
      <c r="P920" s="1138"/>
      <c r="Q920" s="1138"/>
      <c r="R920" s="1138"/>
      <c r="S920" s="1138"/>
      <c r="T920" s="1139"/>
      <c r="U920" s="1149" t="s">
        <v>124</v>
      </c>
      <c r="V920" s="1132"/>
      <c r="W920" s="1132"/>
      <c r="X920" s="1132"/>
      <c r="Y920" s="1132"/>
      <c r="Z920" s="1150"/>
      <c r="AA920" s="1134"/>
      <c r="AB920" s="1135"/>
      <c r="AC920" s="1135"/>
      <c r="AD920" s="1135"/>
      <c r="AE920" s="1135"/>
      <c r="AF920" s="113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73" t="s">
        <v>482</v>
      </c>
      <c r="Q921" s="1132"/>
      <c r="R921" s="1132"/>
      <c r="S921" s="1132"/>
      <c r="T921" s="1150"/>
      <c r="U921" s="1149" t="s">
        <v>124</v>
      </c>
      <c r="V921" s="1132"/>
      <c r="W921" s="1132"/>
      <c r="X921" s="1132"/>
      <c r="Y921" s="1132"/>
      <c r="Z921" s="1150"/>
      <c r="AA921" s="1134"/>
      <c r="AB921" s="1135"/>
      <c r="AC921" s="1135"/>
      <c r="AD921" s="1135"/>
      <c r="AE921" s="1135"/>
      <c r="AF921" s="113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143" t="s">
        <v>2280</v>
      </c>
      <c r="G922" s="1144"/>
      <c r="H922" s="1145"/>
      <c r="I922" s="1514" t="s">
        <v>562</v>
      </c>
      <c r="J922" s="1515"/>
      <c r="K922" s="1515"/>
      <c r="L922" s="1515"/>
      <c r="M922" s="1515"/>
      <c r="N922" s="1515"/>
      <c r="O922" s="1515"/>
      <c r="P922" s="1515"/>
      <c r="Q922" s="1515"/>
      <c r="R922" s="1515"/>
      <c r="S922" s="1515"/>
      <c r="T922" s="1516"/>
      <c r="U922" s="1149" t="s">
        <v>124</v>
      </c>
      <c r="V922" s="1132"/>
      <c r="W922" s="1132"/>
      <c r="X922" s="1132"/>
      <c r="Y922" s="1132"/>
      <c r="Z922" s="1150"/>
      <c r="AA922" s="1134"/>
      <c r="AB922" s="1135"/>
      <c r="AC922" s="1135"/>
      <c r="AD922" s="1135"/>
      <c r="AE922" s="1135"/>
      <c r="AF922" s="113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143" t="s">
        <v>373</v>
      </c>
      <c r="G923" s="1144"/>
      <c r="H923" s="1145"/>
      <c r="I923" s="1514" t="s">
        <v>2459</v>
      </c>
      <c r="J923" s="1515"/>
      <c r="K923" s="1515"/>
      <c r="L923" s="1515"/>
      <c r="M923" s="1515"/>
      <c r="N923" s="1515"/>
      <c r="O923" s="1515"/>
      <c r="P923" s="1515"/>
      <c r="Q923" s="1515"/>
      <c r="R923" s="1515"/>
      <c r="S923" s="1515"/>
      <c r="T923" s="1516"/>
      <c r="U923" s="1149" t="s">
        <v>108</v>
      </c>
      <c r="V923" s="1132"/>
      <c r="W923" s="1132"/>
      <c r="X923" s="1132"/>
      <c r="Y923" s="1132"/>
      <c r="Z923" s="1150"/>
      <c r="AA923" s="1134">
        <f>+AO623</f>
        <v>2165681</v>
      </c>
      <c r="AB923" s="1135"/>
      <c r="AC923" s="1135"/>
      <c r="AD923" s="1135"/>
      <c r="AE923" s="1135"/>
      <c r="AF923" s="113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143" t="s">
        <v>826</v>
      </c>
      <c r="G924" s="1144"/>
      <c r="H924" s="1145"/>
      <c r="I924" s="1514" t="s">
        <v>2458</v>
      </c>
      <c r="J924" s="1515"/>
      <c r="K924" s="1515"/>
      <c r="L924" s="1515"/>
      <c r="M924" s="1515"/>
      <c r="N924" s="1515"/>
      <c r="O924" s="1515"/>
      <c r="P924" s="1515"/>
      <c r="Q924" s="1515"/>
      <c r="R924" s="1515"/>
      <c r="S924" s="1515"/>
      <c r="T924" s="1516"/>
      <c r="U924" s="1149" t="s">
        <v>108</v>
      </c>
      <c r="V924" s="1132"/>
      <c r="W924" s="1132"/>
      <c r="X924" s="1132"/>
      <c r="Y924" s="1132"/>
      <c r="Z924" s="1150"/>
      <c r="AA924" s="1134">
        <f>+AO624</f>
        <v>2570805</v>
      </c>
      <c r="AB924" s="1135"/>
      <c r="AC924" s="1135"/>
      <c r="AD924" s="1135"/>
      <c r="AE924" s="1135"/>
      <c r="AF924" s="113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143" t="s">
        <v>283</v>
      </c>
      <c r="G925" s="1144"/>
      <c r="H925" s="1145"/>
      <c r="I925" s="1514" t="s">
        <v>562</v>
      </c>
      <c r="J925" s="1515"/>
      <c r="K925" s="1515"/>
      <c r="L925" s="1515"/>
      <c r="M925" s="1515"/>
      <c r="N925" s="1515"/>
      <c r="O925" s="1515"/>
      <c r="P925" s="1515"/>
      <c r="Q925" s="1515"/>
      <c r="R925" s="1515"/>
      <c r="S925" s="1515"/>
      <c r="T925" s="1516"/>
      <c r="U925" s="1149" t="s">
        <v>124</v>
      </c>
      <c r="V925" s="1132"/>
      <c r="W925" s="1132"/>
      <c r="X925" s="1132"/>
      <c r="Y925" s="1132"/>
      <c r="Z925" s="1150"/>
      <c r="AA925" s="1134"/>
      <c r="AB925" s="1135"/>
      <c r="AC925" s="1135"/>
      <c r="AD925" s="1135"/>
      <c r="AE925" s="1135"/>
      <c r="AF925" s="113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143" t="s">
        <v>283</v>
      </c>
      <c r="G926" s="1144"/>
      <c r="H926" s="1145"/>
      <c r="I926" s="1514" t="s">
        <v>562</v>
      </c>
      <c r="J926" s="1515"/>
      <c r="K926" s="1515"/>
      <c r="L926" s="1515"/>
      <c r="M926" s="1515"/>
      <c r="N926" s="1515"/>
      <c r="O926" s="1515"/>
      <c r="P926" s="1515"/>
      <c r="Q926" s="1515"/>
      <c r="R926" s="1515"/>
      <c r="S926" s="1515"/>
      <c r="T926" s="1516"/>
      <c r="U926" s="1149" t="s">
        <v>124</v>
      </c>
      <c r="V926" s="1132"/>
      <c r="W926" s="1132"/>
      <c r="X926" s="1132"/>
      <c r="Y926" s="1132"/>
      <c r="Z926" s="1150"/>
      <c r="AA926" s="1134"/>
      <c r="AB926" s="1135"/>
      <c r="AC926" s="1135"/>
      <c r="AD926" s="1135"/>
      <c r="AE926" s="1135"/>
      <c r="AF926" s="113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259"/>
      <c r="M931" s="1260"/>
      <c r="N931" s="1260"/>
      <c r="O931" s="1260"/>
      <c r="P931" s="1260"/>
      <c r="Q931" s="1260"/>
      <c r="R931" s="1260"/>
      <c r="S931" s="1261"/>
      <c r="U931" s="72" t="s">
        <v>827</v>
      </c>
      <c r="V931" s="9"/>
      <c r="W931" s="9"/>
      <c r="X931" s="9"/>
      <c r="Y931" s="9"/>
      <c r="Z931" s="9"/>
      <c r="AA931" s="9"/>
      <c r="AB931" s="9"/>
      <c r="AC931" s="9"/>
      <c r="AD931" s="52"/>
      <c r="AE931" s="1548"/>
      <c r="AF931" s="1403"/>
      <c r="AG931" s="1403"/>
      <c r="AH931" s="1403"/>
      <c r="AI931" s="1403"/>
      <c r="AJ931" s="1403"/>
      <c r="AK931" s="1404"/>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259"/>
      <c r="M932" s="1260"/>
      <c r="N932" s="1260"/>
      <c r="O932" s="1260"/>
      <c r="P932" s="1260"/>
      <c r="Q932" s="1260"/>
      <c r="R932" s="1260"/>
      <c r="S932" s="1261"/>
      <c r="U932" s="72" t="s">
        <v>828</v>
      </c>
      <c r="V932" s="9"/>
      <c r="W932" s="9"/>
      <c r="X932" s="9"/>
      <c r="Y932" s="9"/>
      <c r="Z932" s="9"/>
      <c r="AA932" s="9"/>
      <c r="AB932" s="9"/>
      <c r="AC932" s="9"/>
      <c r="AD932" s="52"/>
      <c r="AE932" s="1549"/>
      <c r="AF932" s="1550"/>
      <c r="AG932" s="1550"/>
      <c r="AH932" s="1550"/>
      <c r="AI932" s="1550"/>
      <c r="AJ932" s="1550"/>
      <c r="AK932" s="155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414" t="s">
        <v>79</v>
      </c>
      <c r="M933" s="1415"/>
      <c r="N933" s="1415"/>
      <c r="O933" s="1415"/>
      <c r="P933" s="1415"/>
      <c r="Q933" s="1415"/>
      <c r="R933" s="1415"/>
      <c r="S933" s="1416"/>
      <c r="U933" s="72" t="s">
        <v>1108</v>
      </c>
      <c r="V933" s="9"/>
      <c r="W933" s="9"/>
      <c r="AE933" s="1414" t="s">
        <v>79</v>
      </c>
      <c r="AF933" s="1415"/>
      <c r="AG933" s="1415"/>
      <c r="AH933" s="1415"/>
      <c r="AI933" s="1415"/>
      <c r="AJ933" s="1415"/>
      <c r="AK933" s="1416"/>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45"/>
      <c r="M934" s="1546"/>
      <c r="N934" s="1546"/>
      <c r="O934" s="1546"/>
      <c r="P934" s="1546"/>
      <c r="Q934" s="1546"/>
      <c r="R934" s="1546"/>
      <c r="S934" s="1547"/>
      <c r="U934" s="72" t="s">
        <v>829</v>
      </c>
      <c r="V934" s="9"/>
      <c r="W934" s="9"/>
      <c r="X934" s="9"/>
      <c r="Y934" s="9"/>
      <c r="Z934" s="9"/>
      <c r="AA934" s="9"/>
      <c r="AB934" s="9"/>
      <c r="AC934" s="9"/>
      <c r="AD934" s="52"/>
      <c r="AE934" s="1545"/>
      <c r="AF934" s="1546"/>
      <c r="AG934" s="1546"/>
      <c r="AH934" s="1546"/>
      <c r="AI934" s="1546"/>
      <c r="AJ934" s="1546"/>
      <c r="AK934" s="154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58"/>
      <c r="M935" s="1559"/>
      <c r="N935" s="1559"/>
      <c r="O935" s="1559"/>
      <c r="P935" s="1559"/>
      <c r="Q935" s="1559"/>
      <c r="R935" s="1559"/>
      <c r="S935" s="1560"/>
      <c r="U935" s="72" t="s">
        <v>830</v>
      </c>
      <c r="V935" s="9"/>
      <c r="W935" s="9"/>
      <c r="X935" s="9"/>
      <c r="Y935" s="9"/>
      <c r="Z935" s="9"/>
      <c r="AA935" s="9"/>
      <c r="AB935" s="9"/>
      <c r="AC935" s="9"/>
      <c r="AD935" s="52"/>
      <c r="AE935" s="1518"/>
      <c r="AF935" s="1406"/>
      <c r="AG935" s="1406"/>
      <c r="AH935" s="1406"/>
      <c r="AI935" s="1406"/>
      <c r="AJ935" s="1406"/>
      <c r="AK935" s="1407"/>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70"/>
      <c r="M936" s="1271"/>
      <c r="N936" s="1271"/>
      <c r="O936" s="1271"/>
      <c r="P936" s="1271"/>
      <c r="Q936" s="1271"/>
      <c r="R936" s="1271"/>
      <c r="S936" s="1272"/>
      <c r="U936" s="72" t="s">
        <v>831</v>
      </c>
      <c r="V936" s="9"/>
      <c r="W936" s="9"/>
      <c r="X936" s="9"/>
      <c r="Y936" s="9"/>
      <c r="Z936" s="9"/>
      <c r="AA936" s="9"/>
      <c r="AB936" s="9"/>
      <c r="AC936" s="9"/>
      <c r="AD936" s="52"/>
      <c r="AE936" s="1134"/>
      <c r="AF936" s="1135"/>
      <c r="AG936" s="1135"/>
      <c r="AH936" s="1135"/>
      <c r="AI936" s="1135"/>
      <c r="AJ936" s="1135"/>
      <c r="AK936" s="113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70" t="s">
        <v>2219</v>
      </c>
      <c r="M937" s="1271"/>
      <c r="N937" s="1271"/>
      <c r="O937" s="1271"/>
      <c r="P937" s="1271"/>
      <c r="Q937" s="1271"/>
      <c r="R937" s="1271"/>
      <c r="S937" s="1272"/>
      <c r="U937" s="72" t="s">
        <v>832</v>
      </c>
      <c r="V937" s="9"/>
      <c r="W937" s="9"/>
      <c r="X937" s="9"/>
      <c r="Y937" s="9"/>
      <c r="Z937" s="9"/>
      <c r="AA937" s="9"/>
      <c r="AB937" s="9"/>
      <c r="AC937" s="9"/>
      <c r="AD937" s="52"/>
      <c r="AE937" s="1134"/>
      <c r="AF937" s="1135"/>
      <c r="AG937" s="1135"/>
      <c r="AH937" s="1135"/>
      <c r="AI937" s="1135"/>
      <c r="AJ937" s="1135"/>
      <c r="AK937" s="113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58"/>
      <c r="M938" s="1559"/>
      <c r="N938" s="1559"/>
      <c r="O938" s="1559"/>
      <c r="P938" s="1559"/>
      <c r="Q938" s="1559"/>
      <c r="R938" s="1559"/>
      <c r="S938" s="1560"/>
      <c r="U938" s="214" t="s">
        <v>1971</v>
      </c>
      <c r="V938" s="9"/>
      <c r="W938" s="9"/>
      <c r="X938" s="9"/>
      <c r="Y938" s="9"/>
      <c r="Z938" s="9"/>
      <c r="AA938" s="9"/>
      <c r="AB938" s="9"/>
      <c r="AC938" s="9"/>
      <c r="AD938" s="52"/>
      <c r="AE938" s="1558"/>
      <c r="AF938" s="1559"/>
      <c r="AG938" s="1559"/>
      <c r="AH938" s="1559"/>
      <c r="AI938" s="1559"/>
      <c r="AJ938" s="1559"/>
      <c r="AK938" s="156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72"/>
      <c r="N943" s="1473"/>
      <c r="O943" s="1473"/>
      <c r="P943" s="1473"/>
      <c r="Q943" s="1473"/>
      <c r="R943" s="1473"/>
      <c r="S943" s="1474"/>
      <c r="T943" s="72" t="s">
        <v>950</v>
      </c>
      <c r="U943" s="9"/>
      <c r="V943" s="9"/>
      <c r="W943" s="9"/>
      <c r="X943" s="9"/>
      <c r="Y943" s="9"/>
      <c r="Z943" s="52"/>
      <c r="AA943" s="1472"/>
      <c r="AB943" s="1473"/>
      <c r="AC943" s="1473"/>
      <c r="AD943" s="1473"/>
      <c r="AE943" s="1473"/>
      <c r="AF943" s="1473"/>
      <c r="AG943" s="147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72"/>
      <c r="N944" s="1473"/>
      <c r="O944" s="1473"/>
      <c r="P944" s="1473"/>
      <c r="Q944" s="1473"/>
      <c r="R944" s="1473"/>
      <c r="S944" s="1474"/>
      <c r="T944" s="72" t="s">
        <v>949</v>
      </c>
      <c r="U944" s="9"/>
      <c r="V944" s="9"/>
      <c r="W944" s="9"/>
      <c r="X944" s="9"/>
      <c r="Y944" s="9"/>
      <c r="Z944" s="52"/>
      <c r="AA944" s="1472"/>
      <c r="AB944" s="1473"/>
      <c r="AC944" s="1473"/>
      <c r="AD944" s="1473"/>
      <c r="AE944" s="1473"/>
      <c r="AF944" s="1473"/>
      <c r="AG944" s="147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61" t="s">
        <v>124</v>
      </c>
      <c r="N945" s="1130"/>
      <c r="O945" s="1130"/>
      <c r="P945" s="1130"/>
      <c r="Q945" s="1130"/>
      <c r="R945" s="1130"/>
      <c r="S945" s="1362"/>
      <c r="T945" s="8" t="s">
        <v>566</v>
      </c>
      <c r="U945" s="9"/>
      <c r="V945" s="9"/>
      <c r="W945" s="9"/>
      <c r="X945" s="9"/>
      <c r="Y945" s="9"/>
      <c r="Z945" s="52"/>
      <c r="AA945" s="1472"/>
      <c r="AB945" s="1473"/>
      <c r="AC945" s="1473"/>
      <c r="AD945" s="1473"/>
      <c r="AE945" s="1473"/>
      <c r="AF945" s="1473"/>
      <c r="AG945" s="147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72"/>
      <c r="N946" s="1473"/>
      <c r="O946" s="1473"/>
      <c r="P946" s="1473"/>
      <c r="Q946" s="1473"/>
      <c r="R946" s="1473"/>
      <c r="S946" s="1474"/>
      <c r="T946" s="8" t="s">
        <v>567</v>
      </c>
      <c r="U946" s="9"/>
      <c r="V946" s="9"/>
      <c r="W946" s="9"/>
      <c r="X946" s="9"/>
      <c r="Y946" s="9"/>
      <c r="Z946" s="52"/>
      <c r="AA946" s="1472"/>
      <c r="AB946" s="1473"/>
      <c r="AC946" s="1473"/>
      <c r="AD946" s="1473"/>
      <c r="AE946" s="1473"/>
      <c r="AF946" s="1473"/>
      <c r="AG946" s="147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72"/>
      <c r="N947" s="1473"/>
      <c r="O947" s="1473"/>
      <c r="P947" s="1473"/>
      <c r="Q947" s="1473"/>
      <c r="R947" s="1473"/>
      <c r="S947" s="1474"/>
      <c r="T947" s="8" t="s">
        <v>493</v>
      </c>
      <c r="U947" s="9"/>
      <c r="V947" s="9"/>
      <c r="W947" s="9"/>
      <c r="X947" s="9"/>
      <c r="Y947" s="9"/>
      <c r="Z947" s="52"/>
      <c r="AA947" s="1472"/>
      <c r="AB947" s="1473"/>
      <c r="AC947" s="1473"/>
      <c r="AD947" s="1473"/>
      <c r="AE947" s="1473"/>
      <c r="AF947" s="1473"/>
      <c r="AG947" s="147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414" t="s">
        <v>79</v>
      </c>
      <c r="N948" s="1415"/>
      <c r="O948" s="1415"/>
      <c r="P948" s="1415"/>
      <c r="Q948" s="1415"/>
      <c r="R948" s="1415"/>
      <c r="S948" s="1416"/>
      <c r="T948" s="1484"/>
      <c r="U948" s="1485"/>
      <c r="V948" s="1485"/>
      <c r="W948" s="1485"/>
      <c r="X948" s="1485"/>
      <c r="Y948" s="1485"/>
      <c r="Z948" s="1486"/>
      <c r="AA948" s="1472"/>
      <c r="AB948" s="1473"/>
      <c r="AC948" s="1473"/>
      <c r="AD948" s="1473"/>
      <c r="AE948" s="1473"/>
      <c r="AF948" s="1473"/>
      <c r="AG948" s="147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72"/>
      <c r="N949" s="1473"/>
      <c r="O949" s="1473"/>
      <c r="P949" s="1473"/>
      <c r="Q949" s="1473"/>
      <c r="R949" s="1473"/>
      <c r="S949" s="1474"/>
      <c r="T949" s="1484"/>
      <c r="U949" s="1485"/>
      <c r="V949" s="1485"/>
      <c r="W949" s="1485"/>
      <c r="X949" s="1485"/>
      <c r="Y949" s="1485"/>
      <c r="Z949" s="1486"/>
      <c r="AA949" s="1472"/>
      <c r="AB949" s="1473"/>
      <c r="AC949" s="1473"/>
      <c r="AD949" s="1473"/>
      <c r="AE949" s="1473"/>
      <c r="AF949" s="1473"/>
      <c r="AG949" s="147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61" t="s">
        <v>482</v>
      </c>
      <c r="P950" s="1362"/>
      <c r="Q950" s="146"/>
      <c r="R950" s="146"/>
      <c r="S950" s="147"/>
      <c r="T950" s="6" t="s">
        <v>283</v>
      </c>
      <c r="U950" s="7"/>
      <c r="V950" s="7"/>
      <c r="W950" s="1478" t="s">
        <v>562</v>
      </c>
      <c r="X950" s="1479"/>
      <c r="Y950" s="1479"/>
      <c r="Z950" s="1479"/>
      <c r="AA950" s="1479"/>
      <c r="AB950" s="1479"/>
      <c r="AC950" s="1479"/>
      <c r="AD950" s="1479"/>
      <c r="AE950" s="1479"/>
      <c r="AF950" s="1479"/>
      <c r="AG950" s="148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61" t="s">
        <v>226</v>
      </c>
      <c r="G951" s="1131"/>
      <c r="H951" s="1131"/>
      <c r="I951" s="1131"/>
      <c r="J951" s="1131"/>
      <c r="K951" s="1131"/>
      <c r="L951" s="1131"/>
      <c r="M951" s="1472"/>
      <c r="N951" s="1473"/>
      <c r="O951" s="1473"/>
      <c r="P951" s="1473"/>
      <c r="Q951" s="1473"/>
      <c r="R951" s="1473"/>
      <c r="S951" s="1474"/>
      <c r="T951" s="53"/>
      <c r="U951" s="54"/>
      <c r="V951" s="54"/>
      <c r="W951" s="54"/>
      <c r="X951" s="54"/>
      <c r="Y951" s="54"/>
      <c r="Z951" s="226" t="s">
        <v>227</v>
      </c>
      <c r="AA951" s="1481"/>
      <c r="AB951" s="1482"/>
      <c r="AC951" s="1482"/>
      <c r="AD951" s="1482"/>
      <c r="AE951" s="1482"/>
      <c r="AF951" s="1482"/>
      <c r="AG951" s="148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160" t="s">
        <v>129</v>
      </c>
      <c r="B955" s="1160"/>
      <c r="C955" s="1160"/>
      <c r="D955" s="1160"/>
      <c r="E955" s="1160"/>
      <c r="F955" s="1160"/>
      <c r="G955" s="1160"/>
      <c r="H955" s="1160"/>
      <c r="I955" s="1160"/>
      <c r="J955" s="1160"/>
      <c r="K955" s="1160"/>
      <c r="L955" s="1160"/>
      <c r="M955" s="1160"/>
      <c r="N955" s="1160"/>
      <c r="O955" s="1160"/>
      <c r="P955" s="1160"/>
      <c r="Q955" s="1160"/>
      <c r="R955" s="1160"/>
      <c r="S955" s="1160"/>
      <c r="T955" s="1160"/>
      <c r="U955" s="1160"/>
      <c r="V955" s="1160"/>
      <c r="W955" s="1160"/>
      <c r="X955" s="1160"/>
      <c r="Y955" s="1160"/>
      <c r="Z955" s="1160"/>
      <c r="AA955" s="1160"/>
      <c r="AB955" s="1160"/>
      <c r="AC955" s="1160"/>
      <c r="AD955" s="1160"/>
      <c r="AE955" s="1160"/>
      <c r="AF955" s="1160"/>
      <c r="AG955" s="1160"/>
      <c r="AH955" s="1160"/>
      <c r="AI955" s="1160"/>
      <c r="AJ955" s="1160"/>
      <c r="AK955" s="1160"/>
      <c r="AL955" s="1160"/>
      <c r="AM955" s="1160"/>
      <c r="AN955" s="1160"/>
      <c r="AO955" s="1160"/>
      <c r="AP955" s="1160"/>
      <c r="AQ955" s="1160"/>
      <c r="AR955" s="1160"/>
      <c r="AS955" s="1160"/>
      <c r="AT955" s="1160"/>
    </row>
    <row r="956" spans="1:97" s="960" customFormat="1" ht="12.9" customHeight="1">
      <c r="A956" s="1160"/>
      <c r="B956" s="1160"/>
      <c r="C956" s="1160"/>
      <c r="D956" s="1160"/>
      <c r="E956" s="1160"/>
      <c r="F956" s="1160"/>
      <c r="G956" s="1160"/>
      <c r="H956" s="1160"/>
      <c r="I956" s="1160"/>
      <c r="J956" s="1160"/>
      <c r="K956" s="1160"/>
      <c r="L956" s="1160"/>
      <c r="M956" s="1160"/>
      <c r="N956" s="1160"/>
      <c r="O956" s="1160"/>
      <c r="P956" s="1160"/>
      <c r="Q956" s="1160"/>
      <c r="R956" s="1160"/>
      <c r="S956" s="1160"/>
      <c r="T956" s="1160"/>
      <c r="U956" s="1160"/>
      <c r="V956" s="1160"/>
      <c r="W956" s="1160"/>
      <c r="X956" s="1160"/>
      <c r="Y956" s="1160"/>
      <c r="Z956" s="1160"/>
      <c r="AA956" s="1160"/>
      <c r="AB956" s="1160"/>
      <c r="AC956" s="1160"/>
      <c r="AD956" s="1160"/>
      <c r="AE956" s="1160"/>
      <c r="AF956" s="1160"/>
      <c r="AG956" s="1160"/>
      <c r="AH956" s="1160"/>
      <c r="AI956" s="1160"/>
      <c r="AJ956" s="1160"/>
      <c r="AK956" s="1160"/>
      <c r="AL956" s="1160"/>
      <c r="AM956" s="1160"/>
      <c r="AN956" s="1160"/>
      <c r="AO956" s="1160"/>
      <c r="AP956" s="1160"/>
      <c r="AQ956" s="1160"/>
      <c r="AR956" s="1160"/>
      <c r="AS956" s="1160"/>
      <c r="AT956" s="1160"/>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75" t="s">
        <v>424</v>
      </c>
      <c r="E960" s="1476"/>
      <c r="F960" s="1476"/>
      <c r="G960" s="1476"/>
      <c r="H960" s="1476"/>
      <c r="I960" s="1476"/>
      <c r="J960" s="1476"/>
      <c r="K960" s="1476"/>
      <c r="L960" s="1476"/>
      <c r="M960" s="1476"/>
      <c r="N960" s="1476"/>
      <c r="O960" s="1476"/>
      <c r="P960" s="1476"/>
      <c r="Q960" s="1477"/>
      <c r="R960" s="1475" t="s">
        <v>425</v>
      </c>
      <c r="S960" s="1476"/>
      <c r="T960" s="1476"/>
      <c r="U960" s="1476"/>
      <c r="V960" s="1476"/>
      <c r="W960" s="1476"/>
      <c r="X960" s="1476"/>
      <c r="Y960" s="1476"/>
      <c r="Z960" s="1476"/>
      <c r="AA960" s="1477"/>
      <c r="AB960" s="1475" t="s">
        <v>426</v>
      </c>
      <c r="AC960" s="1476"/>
      <c r="AD960" s="1476"/>
      <c r="AE960" s="1476"/>
      <c r="AF960" s="1476"/>
      <c r="AG960" s="1476"/>
      <c r="AH960" s="1476"/>
      <c r="AI960" s="1477"/>
      <c r="AJ960" s="1475" t="s">
        <v>427</v>
      </c>
      <c r="AK960" s="1476"/>
      <c r="AL960" s="1476"/>
      <c r="AM960" s="1476"/>
      <c r="AN960" s="1476"/>
      <c r="AO960" s="1476"/>
      <c r="AP960" s="1476"/>
      <c r="AQ960" s="147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12" t="s">
        <v>419</v>
      </c>
      <c r="E961" s="1213"/>
      <c r="F961" s="1213"/>
      <c r="G961" s="1213"/>
      <c r="H961" s="1213"/>
      <c r="I961" s="1213"/>
      <c r="J961" s="1213"/>
      <c r="K961" s="1213"/>
      <c r="L961" s="1213"/>
      <c r="M961" s="1213"/>
      <c r="N961" s="1213"/>
      <c r="O961" s="1213"/>
      <c r="P961" s="1213"/>
      <c r="Q961" s="1214"/>
      <c r="R961" s="1215">
        <f>IF(ISNA(IF($BA$819="4%",(INDEX($BC$825:$BG$881,MATCH($BO$825,$BB$834:$BB$891,0),MATCH(D961,$BC$822:$BG$822,0))),(INDEX($BJ$834:$BN$891,MATCH($BO$825,$BI$834:$BI$891,0),MATCH(D961,$BJ$832:$BN$832,0))))),0,IF($BA$819="4%",(INDEX($BC$825:$BG$881,MATCH($BO$825,$BB$834:$BB$891,0),MATCH(D961,$BC$822:$BG$822,0))),(INDEX($BJ$834:$BN$891,MATCH($BO$825,$BI$834:$BI$891,0),MATCH(D961,$BJ$832:$BN$832,0)))))</f>
        <v>352022</v>
      </c>
      <c r="S961" s="1215"/>
      <c r="T961" s="1215"/>
      <c r="U961" s="1215"/>
      <c r="V961" s="1215"/>
      <c r="W961" s="1215"/>
      <c r="X961" s="1215"/>
      <c r="Y961" s="1215"/>
      <c r="Z961" s="1215"/>
      <c r="AA961" s="1215"/>
      <c r="AB961" s="1216">
        <f>BN651</f>
        <v>0</v>
      </c>
      <c r="AC961" s="1217"/>
      <c r="AD961" s="1217"/>
      <c r="AE961" s="1217"/>
      <c r="AF961" s="1217"/>
      <c r="AG961" s="1217"/>
      <c r="AH961" s="1217"/>
      <c r="AI961" s="1218"/>
      <c r="AJ961" s="1219">
        <f>IF(ISERROR((R961*AB961)),0,(R961*AB961))</f>
        <v>0</v>
      </c>
      <c r="AK961" s="1220"/>
      <c r="AL961" s="1220"/>
      <c r="AM961" s="1220"/>
      <c r="AN961" s="1220"/>
      <c r="AO961" s="1220"/>
      <c r="AP961" s="1220"/>
      <c r="AQ961" s="122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12" t="s">
        <v>442</v>
      </c>
      <c r="E962" s="1213"/>
      <c r="F962" s="1213"/>
      <c r="G962" s="1213"/>
      <c r="H962" s="1213"/>
      <c r="I962" s="1213"/>
      <c r="J962" s="1213"/>
      <c r="K962" s="1213"/>
      <c r="L962" s="1213"/>
      <c r="M962" s="1213"/>
      <c r="N962" s="1213"/>
      <c r="O962" s="1213"/>
      <c r="P962" s="1213"/>
      <c r="Q962" s="1214"/>
      <c r="R962" s="1215">
        <f>IF(ISNA(IF($BA$819="4%",(INDEX($BC$825:$BG$881,MATCH($BO$825,$BB$834:$BB$891,0),MATCH(D962,$BC$822:$BG$822,0))),(INDEX($BJ$834:$BN$891,MATCH($BO$825,$BI$834:$BI$891,0),MATCH(D962,$BJ$832:$BN$832,0))))),0,IF($BA$819="4%",(INDEX($BC$825:$BG$881,MATCH($BO$825,$BB$834:$BB$891,0),MATCH(D962,$BC$822:$BG$822,0))),(INDEX($BJ$834:$BN$891,MATCH($BO$825,$BI$834:$BI$891,0),MATCH(D962,$BJ$832:$BN$832,0)))))</f>
        <v>405878</v>
      </c>
      <c r="S962" s="1215"/>
      <c r="T962" s="1215"/>
      <c r="U962" s="1215"/>
      <c r="V962" s="1215"/>
      <c r="W962" s="1215"/>
      <c r="X962" s="1215"/>
      <c r="Y962" s="1215"/>
      <c r="Z962" s="1215"/>
      <c r="AA962" s="1215"/>
      <c r="AB962" s="1216">
        <f>BS651</f>
        <v>0</v>
      </c>
      <c r="AC962" s="1217"/>
      <c r="AD962" s="1217"/>
      <c r="AE962" s="1217"/>
      <c r="AF962" s="1217"/>
      <c r="AG962" s="1217"/>
      <c r="AH962" s="1217"/>
      <c r="AI962" s="1218"/>
      <c r="AJ962" s="1219">
        <f>IF(ISERROR((R962*AB962)),0,(R962*AB962))</f>
        <v>0</v>
      </c>
      <c r="AK962" s="1220"/>
      <c r="AL962" s="1220"/>
      <c r="AM962" s="1220"/>
      <c r="AN962" s="1220"/>
      <c r="AO962" s="1220"/>
      <c r="AP962" s="1220"/>
      <c r="AQ962" s="122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12" t="s">
        <v>780</v>
      </c>
      <c r="E963" s="1213"/>
      <c r="F963" s="1213"/>
      <c r="G963" s="1213"/>
      <c r="H963" s="1213"/>
      <c r="I963" s="1213"/>
      <c r="J963" s="1213"/>
      <c r="K963" s="1213"/>
      <c r="L963" s="1213"/>
      <c r="M963" s="1213"/>
      <c r="N963" s="1213"/>
      <c r="O963" s="1213"/>
      <c r="P963" s="1213"/>
      <c r="Q963" s="1214"/>
      <c r="R963" s="1215">
        <f>IF(ISNA(IF($BA$819="4%",(INDEX($BC$825:$BG$881,MATCH($BO$825,$BB$834:$BB$891,0),MATCH(D963,$BC$822:$BG$822,0))),(INDEX($BJ$834:$BN$891,MATCH($BO$825,$BI$834:$BI$891,0),MATCH(D963,$BJ$832:$BN$832,0))))),0,IF($BA$819="4%",(INDEX($BC$825:$BG$881,MATCH($BO$825,$BB$834:$BB$891,0),MATCH(D963,$BC$822:$BG$822,0))),(INDEX($BJ$834:$BN$891,MATCH($BO$825,$BI$834:$BI$891,0),MATCH(D963,$BJ$832:$BN$832,0)))))</f>
        <v>489600</v>
      </c>
      <c r="S963" s="1215"/>
      <c r="T963" s="1215"/>
      <c r="U963" s="1215"/>
      <c r="V963" s="1215"/>
      <c r="W963" s="1215"/>
      <c r="X963" s="1215"/>
      <c r="Y963" s="1215"/>
      <c r="Z963" s="1215"/>
      <c r="AA963" s="1215"/>
      <c r="AB963" s="1216">
        <f>BX651</f>
        <v>32</v>
      </c>
      <c r="AC963" s="1217"/>
      <c r="AD963" s="1217"/>
      <c r="AE963" s="1217"/>
      <c r="AF963" s="1217"/>
      <c r="AG963" s="1217"/>
      <c r="AH963" s="1217"/>
      <c r="AI963" s="1218"/>
      <c r="AJ963" s="1219">
        <f>IF(ISERROR((R963*AB963)),0,(R963*AB963))</f>
        <v>15667200</v>
      </c>
      <c r="AK963" s="1220"/>
      <c r="AL963" s="1220"/>
      <c r="AM963" s="1220"/>
      <c r="AN963" s="1220"/>
      <c r="AO963" s="1220"/>
      <c r="AP963" s="1220"/>
      <c r="AQ963" s="122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12" t="s">
        <v>781</v>
      </c>
      <c r="E964" s="1213"/>
      <c r="F964" s="1213"/>
      <c r="G964" s="1213"/>
      <c r="H964" s="1213"/>
      <c r="I964" s="1213"/>
      <c r="J964" s="1213"/>
      <c r="K964" s="1213"/>
      <c r="L964" s="1213"/>
      <c r="M964" s="1213"/>
      <c r="N964" s="1213"/>
      <c r="O964" s="1213"/>
      <c r="P964" s="1213"/>
      <c r="Q964" s="1214"/>
      <c r="R964" s="1215">
        <f>IF(ISNA(IF($BA$819="4%",(INDEX($BC$825:$BG$881,MATCH($BO$825,$BB$834:$BB$891,0),MATCH(D964,$BC$822:$BG$822,0))),(INDEX($BJ$834:$BN$891,MATCH($BO$825,$BI$834:$BI$891,0),MATCH(D964,$BJ$832:$BN$832,0))))),0,IF($BA$819="4%",(INDEX($BC$825:$BG$881,MATCH($BO$825,$BB$834:$BB$891,0),MATCH(D964,$BC$822:$BG$822,0))),(INDEX($BJ$834:$BN$891,MATCH($BO$825,$BI$834:$BI$891,0),MATCH(D964,$BJ$832:$BN$832,0)))))</f>
        <v>626688</v>
      </c>
      <c r="S964" s="1215"/>
      <c r="T964" s="1215"/>
      <c r="U964" s="1215"/>
      <c r="V964" s="1215"/>
      <c r="W964" s="1215"/>
      <c r="X964" s="1215"/>
      <c r="Y964" s="1215"/>
      <c r="Z964" s="1215"/>
      <c r="AA964" s="1215"/>
      <c r="AB964" s="1216">
        <f>CC651</f>
        <v>32</v>
      </c>
      <c r="AC964" s="1217"/>
      <c r="AD964" s="1217"/>
      <c r="AE964" s="1217"/>
      <c r="AF964" s="1217"/>
      <c r="AG964" s="1217"/>
      <c r="AH964" s="1217"/>
      <c r="AI964" s="1218"/>
      <c r="AJ964" s="1219">
        <f>IF(ISERROR((R964*AB964)),0,(R964*AB964))</f>
        <v>20054016</v>
      </c>
      <c r="AK964" s="1220"/>
      <c r="AL964" s="1220"/>
      <c r="AM964" s="1220"/>
      <c r="AN964" s="1220"/>
      <c r="AO964" s="1220"/>
      <c r="AP964" s="1220"/>
      <c r="AQ964" s="122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12" t="s">
        <v>791</v>
      </c>
      <c r="E965" s="1213"/>
      <c r="F965" s="1213"/>
      <c r="G965" s="1213"/>
      <c r="H965" s="1213"/>
      <c r="I965" s="1213"/>
      <c r="J965" s="1213"/>
      <c r="K965" s="1213"/>
      <c r="L965" s="1213"/>
      <c r="M965" s="1213"/>
      <c r="N965" s="1213"/>
      <c r="O965" s="1213"/>
      <c r="P965" s="1213"/>
      <c r="Q965" s="1214"/>
      <c r="R965" s="1215">
        <f>IF(ISNA(IF($BA$819="4%",(INDEX($BC$825:$BG$881,MATCH($BO$825,$BB$834:$BB$891,0),MATCH(D965,$BC$822:$BG$822,0))),(INDEX($BJ$834:$BN$891,MATCH($BO$825,$BI$834:$BI$891,0),MATCH(D965,$BJ$832:$BN$832,0))))),0,IF($BA$819="4%",(INDEX($BC$825:$BG$881,MATCH($BO$825,$BB$834:$BB$891,0),MATCH(D965,$BC$822:$BG$822,0))),(INDEX($BJ$834:$BN$891,MATCH($BO$825,$BI$834:$BI$891,0),MATCH(D965,$BJ$832:$BN$832,0)))))</f>
        <v>698170</v>
      </c>
      <c r="S965" s="1215"/>
      <c r="T965" s="1215"/>
      <c r="U965" s="1215"/>
      <c r="V965" s="1215"/>
      <c r="W965" s="1215"/>
      <c r="X965" s="1215"/>
      <c r="Y965" s="1215"/>
      <c r="Z965" s="1215"/>
      <c r="AA965" s="1215"/>
      <c r="AB965" s="1216">
        <f>CM651+CH651</f>
        <v>0</v>
      </c>
      <c r="AC965" s="1217"/>
      <c r="AD965" s="1217"/>
      <c r="AE965" s="1217"/>
      <c r="AF965" s="1217"/>
      <c r="AG965" s="1217"/>
      <c r="AH965" s="1217"/>
      <c r="AI965" s="1218"/>
      <c r="AJ965" s="1219">
        <f>IF(ISERROR((R965*AB965)),0,(R965*AB965))</f>
        <v>0</v>
      </c>
      <c r="AK965" s="1220"/>
      <c r="AL965" s="1220"/>
      <c r="AM965" s="1220"/>
      <c r="AN965" s="1220"/>
      <c r="AO965" s="1220"/>
      <c r="AP965" s="1220"/>
      <c r="AQ965" s="122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229" t="s">
        <v>960</v>
      </c>
      <c r="C966" s="1230"/>
      <c r="D966" s="1230"/>
      <c r="E966" s="1230"/>
      <c r="F966" s="1230"/>
      <c r="G966" s="1230"/>
      <c r="H966" s="1230"/>
      <c r="I966" s="1230"/>
      <c r="J966" s="1230"/>
      <c r="K966" s="1230"/>
      <c r="L966" s="1230"/>
      <c r="M966" s="1230"/>
      <c r="N966" s="1230"/>
      <c r="O966" s="1230"/>
      <c r="P966" s="1230"/>
      <c r="Q966" s="1230"/>
      <c r="R966" s="1230"/>
      <c r="S966" s="1230"/>
      <c r="T966" s="1230"/>
      <c r="U966" s="1230"/>
      <c r="V966" s="1230"/>
      <c r="W966" s="1230"/>
      <c r="X966" s="1230"/>
      <c r="Y966" s="1230"/>
      <c r="Z966" s="1230"/>
      <c r="AA966" s="1231"/>
      <c r="AB966" s="1216">
        <f>SUM(AB961:AI965)</f>
        <v>64</v>
      </c>
      <c r="AC966" s="1217"/>
      <c r="AD966" s="1217"/>
      <c r="AE966" s="1217"/>
      <c r="AF966" s="1217"/>
      <c r="AG966" s="1217"/>
      <c r="AH966" s="1217"/>
      <c r="AI966" s="1218"/>
      <c r="AJ966" s="1219"/>
      <c r="AK966" s="1220"/>
      <c r="AL966" s="1220"/>
      <c r="AM966" s="1220"/>
      <c r="AN966" s="1220"/>
      <c r="AO966" s="1220"/>
      <c r="AP966" s="1220"/>
      <c r="AQ966" s="122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87" t="s">
        <v>747</v>
      </c>
      <c r="C967" s="1488"/>
      <c r="D967" s="1488"/>
      <c r="E967" s="1488"/>
      <c r="F967" s="1488"/>
      <c r="G967" s="1488"/>
      <c r="H967" s="1488"/>
      <c r="I967" s="1488"/>
      <c r="J967" s="1488"/>
      <c r="K967" s="1488"/>
      <c r="L967" s="1488"/>
      <c r="M967" s="1488"/>
      <c r="N967" s="1488"/>
      <c r="O967" s="1488"/>
      <c r="P967" s="1488"/>
      <c r="Q967" s="1488"/>
      <c r="R967" s="1488"/>
      <c r="S967" s="1488"/>
      <c r="T967" s="1488"/>
      <c r="U967" s="1488"/>
      <c r="V967" s="1488"/>
      <c r="W967" s="1488"/>
      <c r="X967" s="1488"/>
      <c r="Y967" s="1488"/>
      <c r="Z967" s="1488"/>
      <c r="AA967" s="1488"/>
      <c r="AB967" s="1488"/>
      <c r="AC967" s="1488"/>
      <c r="AD967" s="1488"/>
      <c r="AE967" s="1488"/>
      <c r="AF967" s="1488"/>
      <c r="AG967" s="1488"/>
      <c r="AH967" s="1488"/>
      <c r="AI967" s="1489"/>
      <c r="AJ967" s="1219">
        <f>SUM(AJ961:AQ965)</f>
        <v>35721216</v>
      </c>
      <c r="AK967" s="1220"/>
      <c r="AL967" s="1220"/>
      <c r="AM967" s="1220"/>
      <c r="AN967" s="1220"/>
      <c r="AO967" s="1220"/>
      <c r="AP967" s="1220"/>
      <c r="AQ967" s="122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60"/>
      <c r="C968" s="1461"/>
      <c r="D968" s="1461"/>
      <c r="E968" s="1461"/>
      <c r="F968" s="1461"/>
      <c r="G968" s="1461"/>
      <c r="H968" s="1461"/>
      <c r="I968" s="1461"/>
      <c r="J968" s="1461"/>
      <c r="K968" s="1461"/>
      <c r="L968" s="1461"/>
      <c r="M968" s="1461"/>
      <c r="N968" s="1461"/>
      <c r="O968" s="1461"/>
      <c r="P968" s="1461"/>
      <c r="Q968" s="1461"/>
      <c r="R968" s="1461"/>
      <c r="S968" s="1461"/>
      <c r="T968" s="1461"/>
      <c r="U968" s="1461"/>
      <c r="V968" s="1461"/>
      <c r="W968" s="1461"/>
      <c r="X968" s="1461"/>
      <c r="Y968" s="1461"/>
      <c r="Z968" s="1461"/>
      <c r="AA968" s="1461"/>
      <c r="AB968" s="1461"/>
      <c r="AC968" s="1461"/>
      <c r="AD968" s="1461"/>
      <c r="AE968" s="1462"/>
      <c r="AF968" s="1457" t="s">
        <v>479</v>
      </c>
      <c r="AG968" s="1458"/>
      <c r="AH968" s="1458"/>
      <c r="AI968" s="1459"/>
      <c r="AJ968" s="1460"/>
      <c r="AK968" s="1461"/>
      <c r="AL968" s="1461"/>
      <c r="AM968" s="1461"/>
      <c r="AN968" s="1461"/>
      <c r="AO968" s="1461"/>
      <c r="AP968" s="1461"/>
      <c r="AQ968" s="146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22" t="s">
        <v>1889</v>
      </c>
      <c r="E969" s="1223"/>
      <c r="F969" s="1223"/>
      <c r="G969" s="1223"/>
      <c r="H969" s="1223"/>
      <c r="I969" s="1223"/>
      <c r="J969" s="1223"/>
      <c r="K969" s="1223"/>
      <c r="L969" s="1223"/>
      <c r="M969" s="1223"/>
      <c r="N969" s="1223"/>
      <c r="O969" s="1223"/>
      <c r="P969" s="1223"/>
      <c r="Q969" s="1223"/>
      <c r="R969" s="1223"/>
      <c r="S969" s="1223"/>
      <c r="T969" s="1223"/>
      <c r="U969" s="1223"/>
      <c r="V969" s="1223"/>
      <c r="W969" s="1223"/>
      <c r="X969" s="1223"/>
      <c r="Y969" s="1223"/>
      <c r="Z969" s="1223"/>
      <c r="AA969" s="1223"/>
      <c r="AB969" s="1223"/>
      <c r="AC969" s="1223"/>
      <c r="AD969" s="1223"/>
      <c r="AE969" s="1224"/>
      <c r="AF969" s="82"/>
      <c r="AG969" s="1227" t="s">
        <v>482</v>
      </c>
      <c r="AH969" s="1228"/>
      <c r="AI969" s="85"/>
      <c r="AJ969" s="1203">
        <f>ROUND(IF(AND(AG969="yes",D975&lt;&gt;""),AJ967*0.2,0),0)</f>
        <v>0</v>
      </c>
      <c r="AK969" s="1204"/>
      <c r="AL969" s="1204"/>
      <c r="AM969" s="1204"/>
      <c r="AN969" s="1204"/>
      <c r="AO969" s="1204"/>
      <c r="AP969" s="1204"/>
      <c r="AQ969" s="120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84" t="s">
        <v>2274</v>
      </c>
      <c r="E970" s="1185"/>
      <c r="F970" s="1185"/>
      <c r="G970" s="1185"/>
      <c r="H970" s="1185"/>
      <c r="I970" s="1185"/>
      <c r="J970" s="1185"/>
      <c r="K970" s="1185"/>
      <c r="L970" s="1185"/>
      <c r="M970" s="1185"/>
      <c r="N970" s="1185"/>
      <c r="O970" s="1185"/>
      <c r="P970" s="1185"/>
      <c r="Q970" s="1185"/>
      <c r="R970" s="1185"/>
      <c r="S970" s="1185"/>
      <c r="T970" s="1185"/>
      <c r="U970" s="1185"/>
      <c r="V970" s="1185"/>
      <c r="W970" s="1185"/>
      <c r="X970" s="1185"/>
      <c r="Y970" s="1185"/>
      <c r="Z970" s="1185"/>
      <c r="AA970" s="1185"/>
      <c r="AB970" s="1185"/>
      <c r="AC970" s="1185"/>
      <c r="AD970" s="1185"/>
      <c r="AE970" s="1186"/>
      <c r="AF970" s="79"/>
      <c r="AG970" s="21"/>
      <c r="AH970" s="21"/>
      <c r="AI970" s="83"/>
      <c r="AJ970" s="1206"/>
      <c r="AK970" s="1207"/>
      <c r="AL970" s="1207"/>
      <c r="AM970" s="1207"/>
      <c r="AN970" s="1207"/>
      <c r="AO970" s="1207"/>
      <c r="AP970" s="1207"/>
      <c r="AQ970" s="120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84"/>
      <c r="E971" s="1185"/>
      <c r="F971" s="1185"/>
      <c r="G971" s="1185"/>
      <c r="H971" s="1185"/>
      <c r="I971" s="1185"/>
      <c r="J971" s="1185"/>
      <c r="K971" s="1185"/>
      <c r="L971" s="1185"/>
      <c r="M971" s="1185"/>
      <c r="N971" s="1185"/>
      <c r="O971" s="1185"/>
      <c r="P971" s="1185"/>
      <c r="Q971" s="1185"/>
      <c r="R971" s="1185"/>
      <c r="S971" s="1185"/>
      <c r="T971" s="1185"/>
      <c r="U971" s="1185"/>
      <c r="V971" s="1185"/>
      <c r="W971" s="1185"/>
      <c r="X971" s="1185"/>
      <c r="Y971" s="1185"/>
      <c r="Z971" s="1185"/>
      <c r="AA971" s="1185"/>
      <c r="AB971" s="1185"/>
      <c r="AC971" s="1185"/>
      <c r="AD971" s="1185"/>
      <c r="AE971" s="1186"/>
      <c r="AF971" s="79"/>
      <c r="AG971" s="21"/>
      <c r="AH971" s="21"/>
      <c r="AI971" s="83"/>
      <c r="AJ971" s="1206"/>
      <c r="AK971" s="1207"/>
      <c r="AL971" s="1207"/>
      <c r="AM971" s="1207"/>
      <c r="AN971" s="1207"/>
      <c r="AO971" s="1207"/>
      <c r="AP971" s="1207"/>
      <c r="AQ971" s="120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84"/>
      <c r="E972" s="1185"/>
      <c r="F972" s="1185"/>
      <c r="G972" s="1185"/>
      <c r="H972" s="1185"/>
      <c r="I972" s="1185"/>
      <c r="J972" s="1185"/>
      <c r="K972" s="1185"/>
      <c r="L972" s="1185"/>
      <c r="M972" s="1185"/>
      <c r="N972" s="1185"/>
      <c r="O972" s="1185"/>
      <c r="P972" s="1185"/>
      <c r="Q972" s="1185"/>
      <c r="R972" s="1185"/>
      <c r="S972" s="1185"/>
      <c r="T972" s="1185"/>
      <c r="U972" s="1185"/>
      <c r="V972" s="1185"/>
      <c r="W972" s="1185"/>
      <c r="X972" s="1185"/>
      <c r="Y972" s="1185"/>
      <c r="Z972" s="1185"/>
      <c r="AA972" s="1185"/>
      <c r="AB972" s="1185"/>
      <c r="AC972" s="1185"/>
      <c r="AD972" s="1185"/>
      <c r="AE972" s="1186"/>
      <c r="AF972" s="79"/>
      <c r="AG972" s="21"/>
      <c r="AH972" s="21"/>
      <c r="AI972" s="83"/>
      <c r="AJ972" s="1206"/>
      <c r="AK972" s="1207"/>
      <c r="AL972" s="1207"/>
      <c r="AM972" s="1207"/>
      <c r="AN972" s="1207"/>
      <c r="AO972" s="1207"/>
      <c r="AP972" s="1207"/>
      <c r="AQ972" s="120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84"/>
      <c r="E973" s="1185"/>
      <c r="F973" s="1185"/>
      <c r="G973" s="1185"/>
      <c r="H973" s="1185"/>
      <c r="I973" s="1185"/>
      <c r="J973" s="1185"/>
      <c r="K973" s="1185"/>
      <c r="L973" s="1185"/>
      <c r="M973" s="1185"/>
      <c r="N973" s="1185"/>
      <c r="O973" s="1185"/>
      <c r="P973" s="1185"/>
      <c r="Q973" s="1185"/>
      <c r="R973" s="1185"/>
      <c r="S973" s="1185"/>
      <c r="T973" s="1185"/>
      <c r="U973" s="1185"/>
      <c r="V973" s="1185"/>
      <c r="W973" s="1185"/>
      <c r="X973" s="1185"/>
      <c r="Y973" s="1185"/>
      <c r="Z973" s="1185"/>
      <c r="AA973" s="1185"/>
      <c r="AB973" s="1185"/>
      <c r="AC973" s="1185"/>
      <c r="AD973" s="1185"/>
      <c r="AE973" s="1186"/>
      <c r="AF973" s="79"/>
      <c r="AG973" s="21"/>
      <c r="AH973" s="21"/>
      <c r="AI973" s="83"/>
      <c r="AJ973" s="1206"/>
      <c r="AK973" s="1207"/>
      <c r="AL973" s="1207"/>
      <c r="AM973" s="1207"/>
      <c r="AN973" s="1207"/>
      <c r="AO973" s="1207"/>
      <c r="AP973" s="1207"/>
      <c r="AQ973" s="120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87" t="s">
        <v>2275</v>
      </c>
      <c r="E974" s="1188"/>
      <c r="F974" s="1188"/>
      <c r="G974" s="1188"/>
      <c r="H974" s="1188"/>
      <c r="I974" s="1188"/>
      <c r="J974" s="1188"/>
      <c r="K974" s="1188"/>
      <c r="L974" s="1188"/>
      <c r="M974" s="1188"/>
      <c r="N974" s="1188"/>
      <c r="O974" s="1188"/>
      <c r="P974" s="1188"/>
      <c r="Q974" s="1188"/>
      <c r="R974" s="1188"/>
      <c r="S974" s="1188"/>
      <c r="T974" s="1188"/>
      <c r="U974" s="1188"/>
      <c r="V974" s="1188"/>
      <c r="W974" s="1188"/>
      <c r="X974" s="1188"/>
      <c r="Y974" s="1188"/>
      <c r="Z974" s="1188"/>
      <c r="AA974" s="1188"/>
      <c r="AB974" s="1188"/>
      <c r="AC974" s="1188"/>
      <c r="AD974" s="1188"/>
      <c r="AE974" s="1189"/>
      <c r="AF974" s="79"/>
      <c r="AG974" s="21"/>
      <c r="AH974" s="21"/>
      <c r="AI974" s="83"/>
      <c r="AJ974" s="1206"/>
      <c r="AK974" s="1207"/>
      <c r="AL974" s="1207"/>
      <c r="AM974" s="1207"/>
      <c r="AN974" s="1207"/>
      <c r="AO974" s="1207"/>
      <c r="AP974" s="1207"/>
      <c r="AQ974" s="120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80"/>
      <c r="AG975" s="11"/>
      <c r="AH975" s="11"/>
      <c r="AI975" s="81"/>
      <c r="AJ975" s="1209"/>
      <c r="AK975" s="1210"/>
      <c r="AL975" s="1210"/>
      <c r="AM975" s="1210"/>
      <c r="AN975" s="1210"/>
      <c r="AO975" s="1210"/>
      <c r="AP975" s="1210"/>
      <c r="AQ975" s="121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246" t="s">
        <v>1997</v>
      </c>
      <c r="E976" s="1247"/>
      <c r="F976" s="1247"/>
      <c r="G976" s="1247"/>
      <c r="H976" s="1247"/>
      <c r="I976" s="1247"/>
      <c r="J976" s="1247"/>
      <c r="K976" s="1247"/>
      <c r="L976" s="1247"/>
      <c r="M976" s="1247"/>
      <c r="N976" s="1247"/>
      <c r="O976" s="1247"/>
      <c r="P976" s="1247"/>
      <c r="Q976" s="1247"/>
      <c r="R976" s="1247"/>
      <c r="S976" s="1247"/>
      <c r="T976" s="1247"/>
      <c r="U976" s="1247"/>
      <c r="V976" s="1247"/>
      <c r="W976" s="1247"/>
      <c r="X976" s="1247"/>
      <c r="Y976" s="1247"/>
      <c r="Z976" s="1247"/>
      <c r="AA976" s="1247"/>
      <c r="AB976" s="1247"/>
      <c r="AC976" s="1247"/>
      <c r="AD976" s="1247"/>
      <c r="AE976" s="1248"/>
      <c r="AF976" s="82"/>
      <c r="AG976" s="1225" t="s">
        <v>482</v>
      </c>
      <c r="AH976" s="1226"/>
      <c r="AI976" s="85"/>
      <c r="AJ976" s="1203">
        <f>ROUND(IF(AG976="yes",AJ967*0.05,0),0)</f>
        <v>0</v>
      </c>
      <c r="AK976" s="1204"/>
      <c r="AL976" s="1204"/>
      <c r="AM976" s="1204"/>
      <c r="AN976" s="1204"/>
      <c r="AO976" s="1204"/>
      <c r="AP976" s="1204"/>
      <c r="AQ976" s="120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84" t="s">
        <v>1890</v>
      </c>
      <c r="E977" s="1185"/>
      <c r="F977" s="1185"/>
      <c r="G977" s="1185"/>
      <c r="H977" s="1185"/>
      <c r="I977" s="1185"/>
      <c r="J977" s="1185"/>
      <c r="K977" s="1185"/>
      <c r="L977" s="1185"/>
      <c r="M977" s="1185"/>
      <c r="N977" s="1185"/>
      <c r="O977" s="1185"/>
      <c r="P977" s="1185"/>
      <c r="Q977" s="1185"/>
      <c r="R977" s="1185"/>
      <c r="S977" s="1185"/>
      <c r="T977" s="1185"/>
      <c r="U977" s="1185"/>
      <c r="V977" s="1185"/>
      <c r="W977" s="1185"/>
      <c r="X977" s="1185"/>
      <c r="Y977" s="1185"/>
      <c r="Z977" s="1185"/>
      <c r="AA977" s="1185"/>
      <c r="AB977" s="1185"/>
      <c r="AC977" s="1185"/>
      <c r="AD977" s="1185"/>
      <c r="AE977" s="1186"/>
      <c r="AF977" s="79"/>
      <c r="AG977" s="21"/>
      <c r="AH977" s="21"/>
      <c r="AI977" s="83"/>
      <c r="AJ977" s="1206"/>
      <c r="AK977" s="1207"/>
      <c r="AL977" s="1207"/>
      <c r="AM977" s="1207"/>
      <c r="AN977" s="1207"/>
      <c r="AO977" s="1207"/>
      <c r="AP977" s="1207"/>
      <c r="AQ977" s="120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84"/>
      <c r="E978" s="1185"/>
      <c r="F978" s="1185"/>
      <c r="G978" s="1185"/>
      <c r="H978" s="1185"/>
      <c r="I978" s="1185"/>
      <c r="J978" s="1185"/>
      <c r="K978" s="1185"/>
      <c r="L978" s="1185"/>
      <c r="M978" s="1185"/>
      <c r="N978" s="1185"/>
      <c r="O978" s="1185"/>
      <c r="P978" s="1185"/>
      <c r="Q978" s="1185"/>
      <c r="R978" s="1185"/>
      <c r="S978" s="1185"/>
      <c r="T978" s="1185"/>
      <c r="U978" s="1185"/>
      <c r="V978" s="1185"/>
      <c r="W978" s="1185"/>
      <c r="X978" s="1185"/>
      <c r="Y978" s="1185"/>
      <c r="Z978" s="1185"/>
      <c r="AA978" s="1185"/>
      <c r="AB978" s="1185"/>
      <c r="AC978" s="1185"/>
      <c r="AD978" s="1185"/>
      <c r="AE978" s="1186"/>
      <c r="AF978" s="79"/>
      <c r="AG978" s="21"/>
      <c r="AH978" s="21"/>
      <c r="AI978" s="83"/>
      <c r="AJ978" s="1206"/>
      <c r="AK978" s="1207"/>
      <c r="AL978" s="1207"/>
      <c r="AM978" s="1207"/>
      <c r="AN978" s="1207"/>
      <c r="AO978" s="1207"/>
      <c r="AP978" s="1207"/>
      <c r="AQ978" s="120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84"/>
      <c r="E979" s="1185"/>
      <c r="F979" s="1185"/>
      <c r="G979" s="1185"/>
      <c r="H979" s="1185"/>
      <c r="I979" s="1185"/>
      <c r="J979" s="1185"/>
      <c r="K979" s="1185"/>
      <c r="L979" s="1185"/>
      <c r="M979" s="1185"/>
      <c r="N979" s="1185"/>
      <c r="O979" s="1185"/>
      <c r="P979" s="1185"/>
      <c r="Q979" s="1185"/>
      <c r="R979" s="1185"/>
      <c r="S979" s="1185"/>
      <c r="T979" s="1185"/>
      <c r="U979" s="1185"/>
      <c r="V979" s="1185"/>
      <c r="W979" s="1185"/>
      <c r="X979" s="1185"/>
      <c r="Y979" s="1185"/>
      <c r="Z979" s="1185"/>
      <c r="AA979" s="1185"/>
      <c r="AB979" s="1185"/>
      <c r="AC979" s="1185"/>
      <c r="AD979" s="1185"/>
      <c r="AE979" s="1186"/>
      <c r="AF979" s="79"/>
      <c r="AG979" s="21"/>
      <c r="AH979" s="21"/>
      <c r="AI979" s="83"/>
      <c r="AJ979" s="1206"/>
      <c r="AK979" s="1207"/>
      <c r="AL979" s="1207"/>
      <c r="AM979" s="1207"/>
      <c r="AN979" s="1207"/>
      <c r="AO979" s="1207"/>
      <c r="AP979" s="1207"/>
      <c r="AQ979" s="120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84"/>
      <c r="E980" s="1185"/>
      <c r="F980" s="1185"/>
      <c r="G980" s="1185"/>
      <c r="H980" s="1185"/>
      <c r="I980" s="1185"/>
      <c r="J980" s="1185"/>
      <c r="K980" s="1185"/>
      <c r="L980" s="1185"/>
      <c r="M980" s="1185"/>
      <c r="N980" s="1185"/>
      <c r="O980" s="1185"/>
      <c r="P980" s="1185"/>
      <c r="Q980" s="1185"/>
      <c r="R980" s="1185"/>
      <c r="S980" s="1185"/>
      <c r="T980" s="1185"/>
      <c r="U980" s="1185"/>
      <c r="V980" s="1185"/>
      <c r="W980" s="1185"/>
      <c r="X980" s="1185"/>
      <c r="Y980" s="1185"/>
      <c r="Z980" s="1185"/>
      <c r="AA980" s="1185"/>
      <c r="AB980" s="1185"/>
      <c r="AC980" s="1185"/>
      <c r="AD980" s="1185"/>
      <c r="AE980" s="1186"/>
      <c r="AF980" s="79"/>
      <c r="AG980" s="21"/>
      <c r="AH980" s="21"/>
      <c r="AI980" s="83"/>
      <c r="AJ980" s="1206"/>
      <c r="AK980" s="1207"/>
      <c r="AL980" s="1207"/>
      <c r="AM980" s="1207"/>
      <c r="AN980" s="1207"/>
      <c r="AO980" s="1207"/>
      <c r="AP980" s="1207"/>
      <c r="AQ980" s="120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87"/>
      <c r="E981" s="1188"/>
      <c r="F981" s="1188"/>
      <c r="G981" s="1188"/>
      <c r="H981" s="1188"/>
      <c r="I981" s="1188"/>
      <c r="J981" s="1188"/>
      <c r="K981" s="1188"/>
      <c r="L981" s="1188"/>
      <c r="M981" s="1188"/>
      <c r="N981" s="1188"/>
      <c r="O981" s="1188"/>
      <c r="P981" s="1188"/>
      <c r="Q981" s="1188"/>
      <c r="R981" s="1188"/>
      <c r="S981" s="1188"/>
      <c r="T981" s="1188"/>
      <c r="U981" s="1188"/>
      <c r="V981" s="1188"/>
      <c r="W981" s="1188"/>
      <c r="X981" s="1188"/>
      <c r="Y981" s="1188"/>
      <c r="Z981" s="1188"/>
      <c r="AA981" s="1188"/>
      <c r="AB981" s="1188"/>
      <c r="AC981" s="1188"/>
      <c r="AD981" s="1188"/>
      <c r="AE981" s="1189"/>
      <c r="AF981" s="80"/>
      <c r="AG981" s="11"/>
      <c r="AH981" s="11"/>
      <c r="AI981" s="81"/>
      <c r="AJ981" s="1209"/>
      <c r="AK981" s="1210"/>
      <c r="AL981" s="1210"/>
      <c r="AM981" s="1210"/>
      <c r="AN981" s="1210"/>
      <c r="AO981" s="1210"/>
      <c r="AP981" s="1210"/>
      <c r="AQ981" s="121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246" t="s">
        <v>1998</v>
      </c>
      <c r="E982" s="1247"/>
      <c r="F982" s="1247"/>
      <c r="G982" s="1247"/>
      <c r="H982" s="1247"/>
      <c r="I982" s="1247"/>
      <c r="J982" s="1247"/>
      <c r="K982" s="1247"/>
      <c r="L982" s="1247"/>
      <c r="M982" s="1247"/>
      <c r="N982" s="1247"/>
      <c r="O982" s="1247"/>
      <c r="P982" s="1247"/>
      <c r="Q982" s="1247"/>
      <c r="R982" s="1247"/>
      <c r="S982" s="1247"/>
      <c r="T982" s="1247"/>
      <c r="U982" s="1247"/>
      <c r="V982" s="1247"/>
      <c r="W982" s="1247"/>
      <c r="X982" s="1247"/>
      <c r="Y982" s="1247"/>
      <c r="Z982" s="1247"/>
      <c r="AA982" s="1247"/>
      <c r="AB982" s="1247"/>
      <c r="AC982" s="1247"/>
      <c r="AD982" s="1247"/>
      <c r="AE982" s="1248"/>
      <c r="AF982" s="84"/>
      <c r="AG982" s="1225" t="s">
        <v>482</v>
      </c>
      <c r="AH982" s="1226"/>
      <c r="AI982" s="85"/>
      <c r="AJ982" s="1203">
        <f>ROUND(IF(AG982="yes",AJ967*0.1,0),0)</f>
        <v>0</v>
      </c>
      <c r="AK982" s="1204"/>
      <c r="AL982" s="1204"/>
      <c r="AM982" s="1204"/>
      <c r="AN982" s="1204"/>
      <c r="AO982" s="1204"/>
      <c r="AP982" s="1204"/>
      <c r="AQ982" s="120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239" t="s">
        <v>1999</v>
      </c>
      <c r="E983" s="1240"/>
      <c r="F983" s="1240"/>
      <c r="G983" s="1240"/>
      <c r="H983" s="1240"/>
      <c r="I983" s="1240"/>
      <c r="J983" s="1240"/>
      <c r="K983" s="1240"/>
      <c r="L983" s="1240"/>
      <c r="M983" s="1240"/>
      <c r="N983" s="1240"/>
      <c r="O983" s="1240"/>
      <c r="P983" s="1240"/>
      <c r="Q983" s="1240"/>
      <c r="R983" s="1240"/>
      <c r="S983" s="1240"/>
      <c r="T983" s="1240"/>
      <c r="U983" s="1240"/>
      <c r="V983" s="1240"/>
      <c r="W983" s="1240"/>
      <c r="X983" s="1240"/>
      <c r="Y983" s="1240"/>
      <c r="Z983" s="1240"/>
      <c r="AA983" s="1240"/>
      <c r="AB983" s="1240"/>
      <c r="AC983" s="1240"/>
      <c r="AD983" s="1240"/>
      <c r="AE983" s="1241"/>
      <c r="AF983" s="79"/>
      <c r="AI983" s="83"/>
      <c r="AJ983" s="1206"/>
      <c r="AK983" s="1207"/>
      <c r="AL983" s="1207"/>
      <c r="AM983" s="1207"/>
      <c r="AN983" s="1207"/>
      <c r="AO983" s="1207"/>
      <c r="AP983" s="1207"/>
      <c r="AQ983" s="120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239"/>
      <c r="E984" s="1240"/>
      <c r="F984" s="1240"/>
      <c r="G984" s="1240"/>
      <c r="H984" s="1240"/>
      <c r="I984" s="1240"/>
      <c r="J984" s="1240"/>
      <c r="K984" s="1240"/>
      <c r="L984" s="1240"/>
      <c r="M984" s="1240"/>
      <c r="N984" s="1240"/>
      <c r="O984" s="1240"/>
      <c r="P984" s="1240"/>
      <c r="Q984" s="1240"/>
      <c r="R984" s="1240"/>
      <c r="S984" s="1240"/>
      <c r="T984" s="1240"/>
      <c r="U984" s="1240"/>
      <c r="V984" s="1240"/>
      <c r="W984" s="1240"/>
      <c r="X984" s="1240"/>
      <c r="Y984" s="1240"/>
      <c r="Z984" s="1240"/>
      <c r="AA984" s="1240"/>
      <c r="AB984" s="1240"/>
      <c r="AC984" s="1240"/>
      <c r="AD984" s="1240"/>
      <c r="AE984" s="1241"/>
      <c r="AF984" s="79"/>
      <c r="AG984" s="21"/>
      <c r="AH984" s="21"/>
      <c r="AI984" s="83"/>
      <c r="AJ984" s="1206"/>
      <c r="AK984" s="1207"/>
      <c r="AL984" s="1207"/>
      <c r="AM984" s="1207"/>
      <c r="AN984" s="1207"/>
      <c r="AO984" s="1207"/>
      <c r="AP984" s="1207"/>
      <c r="AQ984" s="120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242"/>
      <c r="E985" s="1243"/>
      <c r="F985" s="1243"/>
      <c r="G985" s="1243"/>
      <c r="H985" s="1243"/>
      <c r="I985" s="1243"/>
      <c r="J985" s="1243"/>
      <c r="K985" s="1243"/>
      <c r="L985" s="1243"/>
      <c r="M985" s="1243"/>
      <c r="N985" s="1243"/>
      <c r="O985" s="1243"/>
      <c r="P985" s="1243"/>
      <c r="Q985" s="1243"/>
      <c r="R985" s="1243"/>
      <c r="S985" s="1243"/>
      <c r="T985" s="1243"/>
      <c r="U985" s="1243"/>
      <c r="V985" s="1243"/>
      <c r="W985" s="1243"/>
      <c r="X985" s="1243"/>
      <c r="Y985" s="1243"/>
      <c r="Z985" s="1243"/>
      <c r="AA985" s="1243"/>
      <c r="AB985" s="1243"/>
      <c r="AC985" s="1243"/>
      <c r="AD985" s="1243"/>
      <c r="AE985" s="1244"/>
      <c r="AF985" s="80"/>
      <c r="AG985" s="11"/>
      <c r="AH985" s="11"/>
      <c r="AI985" s="81"/>
      <c r="AJ985" s="1209"/>
      <c r="AK985" s="1210"/>
      <c r="AL985" s="1210"/>
      <c r="AM985" s="1210"/>
      <c r="AN985" s="1210"/>
      <c r="AO985" s="1210"/>
      <c r="AP985" s="1210"/>
      <c r="AQ985" s="121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246" t="s">
        <v>1891</v>
      </c>
      <c r="E986" s="1247"/>
      <c r="F986" s="1247"/>
      <c r="G986" s="1247"/>
      <c r="H986" s="1247"/>
      <c r="I986" s="1247"/>
      <c r="J986" s="1247"/>
      <c r="K986" s="1247"/>
      <c r="L986" s="1247"/>
      <c r="M986" s="1247"/>
      <c r="N986" s="1247"/>
      <c r="O986" s="1247"/>
      <c r="P986" s="1247"/>
      <c r="Q986" s="1247"/>
      <c r="R986" s="1247"/>
      <c r="S986" s="1247"/>
      <c r="T986" s="1247"/>
      <c r="U986" s="1247"/>
      <c r="V986" s="1247"/>
      <c r="W986" s="1247"/>
      <c r="X986" s="1247"/>
      <c r="Y986" s="1247"/>
      <c r="Z986" s="1247"/>
      <c r="AA986" s="1247"/>
      <c r="AB986" s="1247"/>
      <c r="AC986" s="1247"/>
      <c r="AD986" s="1247"/>
      <c r="AE986" s="1248"/>
      <c r="AF986" s="82"/>
      <c r="AG986" s="1225" t="s">
        <v>482</v>
      </c>
      <c r="AH986" s="1226"/>
      <c r="AI986" s="85"/>
      <c r="AJ986" s="1203">
        <f>ROUND(IF(AG986="yes",AJ967*0.02,0),0)</f>
        <v>0</v>
      </c>
      <c r="AK986" s="1204"/>
      <c r="AL986" s="1204"/>
      <c r="AM986" s="1204"/>
      <c r="AN986" s="1204"/>
      <c r="AO986" s="1204"/>
      <c r="AP986" s="1204"/>
      <c r="AQ986" s="120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242" t="s">
        <v>1892</v>
      </c>
      <c r="E987" s="1243"/>
      <c r="F987" s="1243"/>
      <c r="G987" s="1243"/>
      <c r="H987" s="1243"/>
      <c r="I987" s="1243"/>
      <c r="J987" s="1243"/>
      <c r="K987" s="1243"/>
      <c r="L987" s="1243"/>
      <c r="M987" s="1243"/>
      <c r="N987" s="1243"/>
      <c r="O987" s="1243"/>
      <c r="P987" s="1243"/>
      <c r="Q987" s="1243"/>
      <c r="R987" s="1243"/>
      <c r="S987" s="1243"/>
      <c r="T987" s="1243"/>
      <c r="U987" s="1243"/>
      <c r="V987" s="1243"/>
      <c r="W987" s="1243"/>
      <c r="X987" s="1243"/>
      <c r="Y987" s="1243"/>
      <c r="Z987" s="1243"/>
      <c r="AA987" s="1243"/>
      <c r="AB987" s="1243"/>
      <c r="AC987" s="1243"/>
      <c r="AD987" s="1243"/>
      <c r="AE987" s="1244"/>
      <c r="AF987" s="80"/>
      <c r="AG987" s="11"/>
      <c r="AH987" s="11"/>
      <c r="AI987" s="81"/>
      <c r="AJ987" s="1209"/>
      <c r="AK987" s="1210"/>
      <c r="AL987" s="1210"/>
      <c r="AM987" s="1210"/>
      <c r="AN987" s="1210"/>
      <c r="AO987" s="1210"/>
      <c r="AP987" s="1210"/>
      <c r="AQ987" s="121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246" t="s">
        <v>1893</v>
      </c>
      <c r="E988" s="1247"/>
      <c r="F988" s="1247"/>
      <c r="G988" s="1247"/>
      <c r="H988" s="1247"/>
      <c r="I988" s="1247"/>
      <c r="J988" s="1247"/>
      <c r="K988" s="1247"/>
      <c r="L988" s="1247"/>
      <c r="M988" s="1247"/>
      <c r="N988" s="1247"/>
      <c r="O988" s="1247"/>
      <c r="P988" s="1247"/>
      <c r="Q988" s="1247"/>
      <c r="R988" s="1247"/>
      <c r="S988" s="1247"/>
      <c r="T988" s="1247"/>
      <c r="U988" s="1247"/>
      <c r="V988" s="1247"/>
      <c r="W988" s="1247"/>
      <c r="X988" s="1247"/>
      <c r="Y988" s="1247"/>
      <c r="Z988" s="1247"/>
      <c r="AA988" s="1247"/>
      <c r="AB988" s="1247"/>
      <c r="AC988" s="1247"/>
      <c r="AD988" s="1247"/>
      <c r="AE988" s="1248"/>
      <c r="AF988" s="82"/>
      <c r="AG988" s="1225" t="s">
        <v>482</v>
      </c>
      <c r="AH988" s="1226"/>
      <c r="AI988" s="82"/>
      <c r="AJ988" s="1203">
        <f>ROUND(IF(AG988="yes",AJ967*0.02,0),0)</f>
        <v>0</v>
      </c>
      <c r="AK988" s="1204"/>
      <c r="AL988" s="1204"/>
      <c r="AM988" s="1204"/>
      <c r="AN988" s="1204"/>
      <c r="AO988" s="1204"/>
      <c r="AP988" s="1204"/>
      <c r="AQ988" s="1205"/>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239" t="s">
        <v>1894</v>
      </c>
      <c r="E989" s="1240"/>
      <c r="F989" s="1240"/>
      <c r="G989" s="1240"/>
      <c r="H989" s="1240"/>
      <c r="I989" s="1240"/>
      <c r="J989" s="1240"/>
      <c r="K989" s="1240"/>
      <c r="L989" s="1240"/>
      <c r="M989" s="1240"/>
      <c r="N989" s="1240"/>
      <c r="O989" s="1240"/>
      <c r="P989" s="1240"/>
      <c r="Q989" s="1240"/>
      <c r="R989" s="1240"/>
      <c r="S989" s="1240"/>
      <c r="T989" s="1240"/>
      <c r="U989" s="1240"/>
      <c r="V989" s="1240"/>
      <c r="W989" s="1240"/>
      <c r="X989" s="1240"/>
      <c r="Y989" s="1240"/>
      <c r="Z989" s="1240"/>
      <c r="AA989" s="1240"/>
      <c r="AB989" s="1240"/>
      <c r="AC989" s="1240"/>
      <c r="AD989" s="1240"/>
      <c r="AE989" s="1241"/>
      <c r="AF989" s="1161" t="str">
        <f>IF(AND(AG988="yes",AF215&lt;&gt;1),"The project may not be eligible for this boost","")</f>
        <v/>
      </c>
      <c r="AG989" s="1162"/>
      <c r="AH989" s="1162"/>
      <c r="AI989" s="1163"/>
      <c r="AJ989" s="1206"/>
      <c r="AK989" s="1207"/>
      <c r="AL989" s="1207"/>
      <c r="AM989" s="1207"/>
      <c r="AN989" s="1207"/>
      <c r="AO989" s="1207"/>
      <c r="AP989" s="1207"/>
      <c r="AQ989" s="1208"/>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242"/>
      <c r="E990" s="1243"/>
      <c r="F990" s="1243"/>
      <c r="G990" s="1243"/>
      <c r="H990" s="1243"/>
      <c r="I990" s="1243"/>
      <c r="J990" s="1243"/>
      <c r="K990" s="1243"/>
      <c r="L990" s="1243"/>
      <c r="M990" s="1243"/>
      <c r="N990" s="1243"/>
      <c r="O990" s="1243"/>
      <c r="P990" s="1243"/>
      <c r="Q990" s="1243"/>
      <c r="R990" s="1243"/>
      <c r="S990" s="1243"/>
      <c r="T990" s="1243"/>
      <c r="U990" s="1243"/>
      <c r="V990" s="1243"/>
      <c r="W990" s="1243"/>
      <c r="X990" s="1243"/>
      <c r="Y990" s="1243"/>
      <c r="Z990" s="1243"/>
      <c r="AA990" s="1243"/>
      <c r="AB990" s="1243"/>
      <c r="AC990" s="1243"/>
      <c r="AD990" s="1243"/>
      <c r="AE990" s="1244"/>
      <c r="AF990" s="1164"/>
      <c r="AG990" s="1165"/>
      <c r="AH990" s="1165"/>
      <c r="AI990" s="1166"/>
      <c r="AJ990" s="1209"/>
      <c r="AK990" s="1210"/>
      <c r="AL990" s="1210"/>
      <c r="AM990" s="1210"/>
      <c r="AN990" s="1210"/>
      <c r="AO990" s="1210"/>
      <c r="AP990" s="1210"/>
      <c r="AQ990" s="1211"/>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22" t="s">
        <v>1895</v>
      </c>
      <c r="E991" s="1223"/>
      <c r="F991" s="1223"/>
      <c r="G991" s="1223"/>
      <c r="H991" s="1223"/>
      <c r="I991" s="1223"/>
      <c r="J991" s="1223"/>
      <c r="K991" s="1223"/>
      <c r="L991" s="1223"/>
      <c r="M991" s="1223"/>
      <c r="N991" s="1223"/>
      <c r="O991" s="1223"/>
      <c r="P991" s="1223"/>
      <c r="Q991" s="1223"/>
      <c r="R991" s="1223"/>
      <c r="S991" s="1223"/>
      <c r="T991" s="1223"/>
      <c r="U991" s="1223"/>
      <c r="V991" s="1223"/>
      <c r="W991" s="1223"/>
      <c r="X991" s="1223"/>
      <c r="Y991" s="1223"/>
      <c r="Z991" s="1223"/>
      <c r="AA991" s="1223"/>
      <c r="AB991" s="1223"/>
      <c r="AC991" s="1223"/>
      <c r="AD991" s="1223"/>
      <c r="AE991" s="1224"/>
      <c r="AF991" s="82"/>
      <c r="AG991" s="1225" t="s">
        <v>482</v>
      </c>
      <c r="AH991" s="1226"/>
      <c r="AI991" s="85"/>
      <c r="AJ991" s="1203">
        <f>IF(AG991="yes",AJ967*BA992,0)</f>
        <v>0</v>
      </c>
      <c r="AK991" s="1204"/>
      <c r="AL991" s="1204"/>
      <c r="AM991" s="1204"/>
      <c r="AN991" s="1204"/>
      <c r="AO991" s="1204"/>
      <c r="AP991" s="1204"/>
      <c r="AQ991" s="120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239" t="s">
        <v>2000</v>
      </c>
      <c r="E992" s="1240"/>
      <c r="F992" s="1240"/>
      <c r="G992" s="1240"/>
      <c r="H992" s="1240"/>
      <c r="I992" s="1240"/>
      <c r="J992" s="1240"/>
      <c r="K992" s="1240"/>
      <c r="L992" s="1240"/>
      <c r="M992" s="1240"/>
      <c r="N992" s="1240"/>
      <c r="O992" s="1240"/>
      <c r="P992" s="1240"/>
      <c r="Q992" s="1240"/>
      <c r="R992" s="1240"/>
      <c r="S992" s="1240"/>
      <c r="T992" s="1240"/>
      <c r="U992" s="1240"/>
      <c r="V992" s="1240"/>
      <c r="W992" s="1240"/>
      <c r="X992" s="1240"/>
      <c r="Y992" s="1240"/>
      <c r="Z992" s="1240"/>
      <c r="AA992" s="1240"/>
      <c r="AB992" s="1240"/>
      <c r="AC992" s="1240"/>
      <c r="AD992" s="1240"/>
      <c r="AE992" s="1241"/>
      <c r="AF992" s="1190" t="str">
        <f>IF(AND(AG991="Yes",BA992=0),BA994,"")</f>
        <v/>
      </c>
      <c r="AG992" s="1191"/>
      <c r="AH992" s="1191"/>
      <c r="AI992" s="1192"/>
      <c r="AJ992" s="1206"/>
      <c r="AK992" s="1207"/>
      <c r="AL992" s="1207"/>
      <c r="AM992" s="1207"/>
      <c r="AN992" s="1207"/>
      <c r="AO992" s="1207"/>
      <c r="AP992" s="1207"/>
      <c r="AQ992" s="1208"/>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239"/>
      <c r="E993" s="1240"/>
      <c r="F993" s="1240"/>
      <c r="G993" s="1240"/>
      <c r="H993" s="1240"/>
      <c r="I993" s="1240"/>
      <c r="J993" s="1240"/>
      <c r="K993" s="1240"/>
      <c r="L993" s="1240"/>
      <c r="M993" s="1240"/>
      <c r="N993" s="1240"/>
      <c r="O993" s="1240"/>
      <c r="P993" s="1240"/>
      <c r="Q993" s="1240"/>
      <c r="R993" s="1240"/>
      <c r="S993" s="1240"/>
      <c r="T993" s="1240"/>
      <c r="U993" s="1240"/>
      <c r="V993" s="1240"/>
      <c r="W993" s="1240"/>
      <c r="X993" s="1240"/>
      <c r="Y993" s="1240"/>
      <c r="Z993" s="1240"/>
      <c r="AA993" s="1240"/>
      <c r="AB993" s="1240"/>
      <c r="AC993" s="1240"/>
      <c r="AD993" s="1240"/>
      <c r="AE993" s="1241"/>
      <c r="AF993" s="1190"/>
      <c r="AG993" s="1191"/>
      <c r="AH993" s="1191"/>
      <c r="AI993" s="1192"/>
      <c r="AJ993" s="1206"/>
      <c r="AK993" s="1207"/>
      <c r="AL993" s="1207"/>
      <c r="AM993" s="1207"/>
      <c r="AN993" s="1207"/>
      <c r="AO993" s="1207"/>
      <c r="AP993" s="1207"/>
      <c r="AQ993" s="120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242"/>
      <c r="E994" s="1243"/>
      <c r="F994" s="1243"/>
      <c r="G994" s="1243"/>
      <c r="H994" s="1243"/>
      <c r="I994" s="1243"/>
      <c r="J994" s="1243"/>
      <c r="K994" s="1243"/>
      <c r="L994" s="1243"/>
      <c r="M994" s="1243"/>
      <c r="N994" s="1243"/>
      <c r="O994" s="1243"/>
      <c r="P994" s="1243"/>
      <c r="Q994" s="1243"/>
      <c r="R994" s="1243"/>
      <c r="S994" s="1243"/>
      <c r="T994" s="1243"/>
      <c r="U994" s="1243"/>
      <c r="V994" s="1243"/>
      <c r="W994" s="1243"/>
      <c r="X994" s="1243"/>
      <c r="Y994" s="1243"/>
      <c r="Z994" s="1243"/>
      <c r="AA994" s="1243"/>
      <c r="AB994" s="1243"/>
      <c r="AC994" s="1243"/>
      <c r="AD994" s="1243"/>
      <c r="AE994" s="1244"/>
      <c r="AF994" s="1193"/>
      <c r="AG994" s="1194"/>
      <c r="AH994" s="1194"/>
      <c r="AI994" s="1195"/>
      <c r="AJ994" s="1209"/>
      <c r="AK994" s="1210"/>
      <c r="AL994" s="1210"/>
      <c r="AM994" s="1210"/>
      <c r="AN994" s="1210"/>
      <c r="AO994" s="1210"/>
      <c r="AP994" s="1210"/>
      <c r="AQ994" s="121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249" t="s">
        <v>1896</v>
      </c>
      <c r="E995" s="1250"/>
      <c r="F995" s="1250"/>
      <c r="G995" s="1250"/>
      <c r="H995" s="1250"/>
      <c r="I995" s="1250"/>
      <c r="J995" s="1250"/>
      <c r="K995" s="1250"/>
      <c r="L995" s="1250"/>
      <c r="M995" s="1250"/>
      <c r="N995" s="1250"/>
      <c r="O995" s="1250"/>
      <c r="P995" s="1250"/>
      <c r="Q995" s="1250"/>
      <c r="R995" s="1250"/>
      <c r="S995" s="1250"/>
      <c r="T995" s="1250"/>
      <c r="U995" s="1250"/>
      <c r="V995" s="1250"/>
      <c r="W995" s="1250"/>
      <c r="X995" s="1250"/>
      <c r="Y995" s="1250"/>
      <c r="Z995" s="1250"/>
      <c r="AA995" s="1250"/>
      <c r="AB995" s="1250"/>
      <c r="AC995" s="1250"/>
      <c r="AD995" s="1250"/>
      <c r="AE995" s="1251"/>
      <c r="AF995" s="82"/>
      <c r="AG995" s="1225" t="s">
        <v>482</v>
      </c>
      <c r="AH995" s="1226"/>
      <c r="AI995" s="85"/>
      <c r="AJ995" s="1203">
        <f>ROUND(IF(AND(AG995="Yes",AF998&lt;&gt;"",J999&lt;&gt;"N/A"),MIN(AF998,(0.15*AJ967)),0),0)</f>
        <v>0</v>
      </c>
      <c r="AK995" s="1204"/>
      <c r="AL995" s="1204"/>
      <c r="AM995" s="1204"/>
      <c r="AN995" s="1204"/>
      <c r="AO995" s="1204"/>
      <c r="AP995" s="1204"/>
      <c r="AQ995" s="120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252"/>
      <c r="E996" s="1253"/>
      <c r="F996" s="1253"/>
      <c r="G996" s="1253"/>
      <c r="H996" s="1253"/>
      <c r="I996" s="1253"/>
      <c r="J996" s="1253"/>
      <c r="K996" s="1253"/>
      <c r="L996" s="1253"/>
      <c r="M996" s="1253"/>
      <c r="N996" s="1253"/>
      <c r="O996" s="1253"/>
      <c r="P996" s="1253"/>
      <c r="Q996" s="1253"/>
      <c r="R996" s="1253"/>
      <c r="S996" s="1253"/>
      <c r="T996" s="1253"/>
      <c r="U996" s="1253"/>
      <c r="V996" s="1253"/>
      <c r="W996" s="1253"/>
      <c r="X996" s="1253"/>
      <c r="Y996" s="1253"/>
      <c r="Z996" s="1253"/>
      <c r="AA996" s="1253"/>
      <c r="AB996" s="1253"/>
      <c r="AC996" s="1253"/>
      <c r="AD996" s="1253"/>
      <c r="AE996" s="1254"/>
      <c r="AF996" s="1190" t="str">
        <f>IF(AG995="yes","Please Select Type and Enter Amount:","")</f>
        <v/>
      </c>
      <c r="AG996" s="1191"/>
      <c r="AH996" s="1191"/>
      <c r="AI996" s="1192"/>
      <c r="AJ996" s="1206"/>
      <c r="AK996" s="1207"/>
      <c r="AL996" s="1207"/>
      <c r="AM996" s="1207"/>
      <c r="AN996" s="1207"/>
      <c r="AO996" s="1207"/>
      <c r="AP996" s="1207"/>
      <c r="AQ996" s="120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239" t="s">
        <v>1897</v>
      </c>
      <c r="E997" s="1240"/>
      <c r="F997" s="1240"/>
      <c r="G997" s="1240"/>
      <c r="H997" s="1240"/>
      <c r="I997" s="1240"/>
      <c r="J997" s="1240"/>
      <c r="K997" s="1240"/>
      <c r="L997" s="1240"/>
      <c r="M997" s="1240"/>
      <c r="N997" s="1240"/>
      <c r="O997" s="1240"/>
      <c r="P997" s="1240"/>
      <c r="Q997" s="1240"/>
      <c r="R997" s="1240"/>
      <c r="S997" s="1240"/>
      <c r="T997" s="1240"/>
      <c r="U997" s="1240"/>
      <c r="V997" s="1240"/>
      <c r="W997" s="1240"/>
      <c r="X997" s="1240"/>
      <c r="Y997" s="1240"/>
      <c r="Z997" s="1240"/>
      <c r="AA997" s="1240"/>
      <c r="AB997" s="1240"/>
      <c r="AC997" s="1240"/>
      <c r="AD997" s="1240"/>
      <c r="AE997" s="1241"/>
      <c r="AF997" s="1190"/>
      <c r="AG997" s="1191"/>
      <c r="AH997" s="1191"/>
      <c r="AI997" s="1192"/>
      <c r="AJ997" s="1206"/>
      <c r="AK997" s="1207"/>
      <c r="AL997" s="1207"/>
      <c r="AM997" s="1207"/>
      <c r="AN997" s="1207"/>
      <c r="AO997" s="1207"/>
      <c r="AP997" s="1207"/>
      <c r="AQ997" s="120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239"/>
      <c r="E998" s="1240"/>
      <c r="F998" s="1240"/>
      <c r="G998" s="1240"/>
      <c r="H998" s="1240"/>
      <c r="I998" s="1240"/>
      <c r="J998" s="1240"/>
      <c r="K998" s="1240"/>
      <c r="L998" s="1240"/>
      <c r="M998" s="1240"/>
      <c r="N998" s="1240"/>
      <c r="O998" s="1240"/>
      <c r="P998" s="1240"/>
      <c r="Q998" s="1240"/>
      <c r="R998" s="1240"/>
      <c r="S998" s="1240"/>
      <c r="T998" s="1240"/>
      <c r="U998" s="1240"/>
      <c r="V998" s="1240"/>
      <c r="W998" s="1240"/>
      <c r="X998" s="1240"/>
      <c r="Y998" s="1240"/>
      <c r="Z998" s="1240"/>
      <c r="AA998" s="1240"/>
      <c r="AB998" s="1240"/>
      <c r="AC998" s="1240"/>
      <c r="AD998" s="1240"/>
      <c r="AE998" s="1241"/>
      <c r="AF998" s="1562"/>
      <c r="AG998" s="1562"/>
      <c r="AH998" s="1562"/>
      <c r="AI998" s="1562"/>
      <c r="AJ998" s="1206"/>
      <c r="AK998" s="1207"/>
      <c r="AL998" s="1207"/>
      <c r="AM998" s="1207"/>
      <c r="AN998" s="1207"/>
      <c r="AO998" s="1207"/>
      <c r="AP998" s="1207"/>
      <c r="AQ998" s="120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255" t="s">
        <v>124</v>
      </c>
      <c r="K999" s="1256"/>
      <c r="L999" s="1256"/>
      <c r="M999" s="1256"/>
      <c r="N999" s="1256"/>
      <c r="O999" s="1256"/>
      <c r="P999" s="1256"/>
      <c r="Q999" s="1256"/>
      <c r="R999" s="1256"/>
      <c r="S999" s="1256"/>
      <c r="T999" s="1256"/>
      <c r="U999" s="1256"/>
      <c r="V999" s="1256"/>
      <c r="W999" s="1256"/>
      <c r="X999" s="1256"/>
      <c r="Y999" s="1256"/>
      <c r="Z999" s="1256"/>
      <c r="AA999" s="1256"/>
      <c r="AB999" s="1256"/>
      <c r="AC999" s="1256"/>
      <c r="AD999" s="1256"/>
      <c r="AE999" s="1257"/>
      <c r="AF999" s="1562"/>
      <c r="AG999" s="1562"/>
      <c r="AH999" s="1562"/>
      <c r="AI999" s="1562"/>
      <c r="AJ999" s="1209"/>
      <c r="AK999" s="1210"/>
      <c r="AL999" s="1210"/>
      <c r="AM999" s="1210"/>
      <c r="AN999" s="1210"/>
      <c r="AO999" s="1210"/>
      <c r="AP999" s="1210"/>
      <c r="AQ999" s="121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246" t="s">
        <v>1898</v>
      </c>
      <c r="E1000" s="1247"/>
      <c r="F1000" s="1247"/>
      <c r="G1000" s="1247"/>
      <c r="H1000" s="1247"/>
      <c r="I1000" s="1247"/>
      <c r="J1000" s="1247"/>
      <c r="K1000" s="1247"/>
      <c r="L1000" s="1247"/>
      <c r="M1000" s="1247"/>
      <c r="N1000" s="1247"/>
      <c r="O1000" s="1247"/>
      <c r="P1000" s="1247"/>
      <c r="Q1000" s="1247"/>
      <c r="R1000" s="1247"/>
      <c r="S1000" s="1247"/>
      <c r="T1000" s="1247"/>
      <c r="U1000" s="1247"/>
      <c r="V1000" s="1247"/>
      <c r="W1000" s="1247"/>
      <c r="X1000" s="1247"/>
      <c r="Y1000" s="1247"/>
      <c r="Z1000" s="1247"/>
      <c r="AA1000" s="1247"/>
      <c r="AB1000" s="1247"/>
      <c r="AC1000" s="1247"/>
      <c r="AD1000" s="1247"/>
      <c r="AE1000" s="1248"/>
      <c r="AF1000" s="82"/>
      <c r="AG1000" s="1225" t="s">
        <v>108</v>
      </c>
      <c r="AH1000" s="1226"/>
      <c r="AI1000" s="85"/>
      <c r="AJ1000" s="1203">
        <f>ROUND(IF(AG1000="Yes",AF1002,0),0)</f>
        <v>1042543</v>
      </c>
      <c r="AK1000" s="1204"/>
      <c r="AL1000" s="1204"/>
      <c r="AM1000" s="1204"/>
      <c r="AN1000" s="1204"/>
      <c r="AO1000" s="1204"/>
      <c r="AP1000" s="1204"/>
      <c r="AQ1000" s="120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239" t="s">
        <v>2001</v>
      </c>
      <c r="E1001" s="1240"/>
      <c r="F1001" s="1240"/>
      <c r="G1001" s="1240"/>
      <c r="H1001" s="1240"/>
      <c r="I1001" s="1240"/>
      <c r="J1001" s="1240"/>
      <c r="K1001" s="1240"/>
      <c r="L1001" s="1240"/>
      <c r="M1001" s="1240"/>
      <c r="N1001" s="1240"/>
      <c r="O1001" s="1240"/>
      <c r="P1001" s="1240"/>
      <c r="Q1001" s="1240"/>
      <c r="R1001" s="1240"/>
      <c r="S1001" s="1240"/>
      <c r="T1001" s="1240"/>
      <c r="U1001" s="1240"/>
      <c r="V1001" s="1240"/>
      <c r="W1001" s="1240"/>
      <c r="X1001" s="1240"/>
      <c r="Y1001" s="1240"/>
      <c r="Z1001" s="1240"/>
      <c r="AA1001" s="1240"/>
      <c r="AB1001" s="1240"/>
      <c r="AC1001" s="1240"/>
      <c r="AD1001" s="1240"/>
      <c r="AE1001" s="1241"/>
      <c r="AF1001" s="1563" t="str">
        <f>IF(AG1000="yes","Please Enter Amount:","")</f>
        <v>Please Enter Amount:</v>
      </c>
      <c r="AG1001" s="1564"/>
      <c r="AH1001" s="1564"/>
      <c r="AI1001" s="1565"/>
      <c r="AJ1001" s="1206"/>
      <c r="AK1001" s="1207"/>
      <c r="AL1001" s="1207"/>
      <c r="AM1001" s="1207"/>
      <c r="AN1001" s="1207"/>
      <c r="AO1001" s="1207"/>
      <c r="AP1001" s="1207"/>
      <c r="AQ1001" s="120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239"/>
      <c r="E1002" s="1240"/>
      <c r="F1002" s="1240"/>
      <c r="G1002" s="1240"/>
      <c r="H1002" s="1240"/>
      <c r="I1002" s="1240"/>
      <c r="J1002" s="1240"/>
      <c r="K1002" s="1240"/>
      <c r="L1002" s="1240"/>
      <c r="M1002" s="1240"/>
      <c r="N1002" s="1240"/>
      <c r="O1002" s="1240"/>
      <c r="P1002" s="1240"/>
      <c r="Q1002" s="1240"/>
      <c r="R1002" s="1240"/>
      <c r="S1002" s="1240"/>
      <c r="T1002" s="1240"/>
      <c r="U1002" s="1240"/>
      <c r="V1002" s="1240"/>
      <c r="W1002" s="1240"/>
      <c r="X1002" s="1240"/>
      <c r="Y1002" s="1240"/>
      <c r="Z1002" s="1240"/>
      <c r="AA1002" s="1240"/>
      <c r="AB1002" s="1240"/>
      <c r="AC1002" s="1240"/>
      <c r="AD1002" s="1240"/>
      <c r="AE1002" s="1241"/>
      <c r="AF1002" s="1562">
        <f>+'Sources and Uses Budget'!B84</f>
        <v>1042543</v>
      </c>
      <c r="AG1002" s="1562"/>
      <c r="AH1002" s="1562"/>
      <c r="AI1002" s="1562"/>
      <c r="AJ1002" s="1206"/>
      <c r="AK1002" s="1207"/>
      <c r="AL1002" s="1207"/>
      <c r="AM1002" s="1207"/>
      <c r="AN1002" s="1207"/>
      <c r="AO1002" s="1207"/>
      <c r="AP1002" s="1207"/>
      <c r="AQ1002" s="120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242"/>
      <c r="E1003" s="1243"/>
      <c r="F1003" s="1243"/>
      <c r="G1003" s="1243"/>
      <c r="H1003" s="1243"/>
      <c r="I1003" s="1243"/>
      <c r="J1003" s="1243"/>
      <c r="K1003" s="1243"/>
      <c r="L1003" s="1243"/>
      <c r="M1003" s="1243"/>
      <c r="N1003" s="1243"/>
      <c r="O1003" s="1243"/>
      <c r="P1003" s="1243"/>
      <c r="Q1003" s="1243"/>
      <c r="R1003" s="1243"/>
      <c r="S1003" s="1243"/>
      <c r="T1003" s="1243"/>
      <c r="U1003" s="1243"/>
      <c r="V1003" s="1243"/>
      <c r="W1003" s="1243"/>
      <c r="X1003" s="1243"/>
      <c r="Y1003" s="1243"/>
      <c r="Z1003" s="1243"/>
      <c r="AA1003" s="1243"/>
      <c r="AB1003" s="1243"/>
      <c r="AC1003" s="1243"/>
      <c r="AD1003" s="1243"/>
      <c r="AE1003" s="1244"/>
      <c r="AF1003" s="1562"/>
      <c r="AG1003" s="1562"/>
      <c r="AH1003" s="1562"/>
      <c r="AI1003" s="1562"/>
      <c r="AJ1003" s="1209"/>
      <c r="AK1003" s="1210"/>
      <c r="AL1003" s="1210"/>
      <c r="AM1003" s="1210"/>
      <c r="AN1003" s="1210"/>
      <c r="AO1003" s="1210"/>
      <c r="AP1003" s="1210"/>
      <c r="AQ1003" s="1211"/>
      <c r="AT1003" s="43"/>
      <c r="AU1003" s="43"/>
      <c r="AV1003" s="43"/>
      <c r="AW1003" s="43"/>
      <c r="AX1003" s="38"/>
      <c r="AY1003" s="38"/>
      <c r="AZ1003" s="21"/>
      <c r="BA1003" s="21"/>
      <c r="BB1003" s="21"/>
      <c r="BC1003" s="43"/>
      <c r="BD1003" s="43"/>
    </row>
    <row r="1004" spans="1:97" ht="12.9" customHeight="1">
      <c r="A1004" s="21"/>
      <c r="B1004" s="82"/>
      <c r="C1004" s="555" t="s">
        <v>578</v>
      </c>
      <c r="D1004" s="1222" t="s">
        <v>1899</v>
      </c>
      <c r="E1004" s="1223"/>
      <c r="F1004" s="1223"/>
      <c r="G1004" s="1223"/>
      <c r="H1004" s="1223"/>
      <c r="I1004" s="1223"/>
      <c r="J1004" s="1223"/>
      <c r="K1004" s="1223"/>
      <c r="L1004" s="1223"/>
      <c r="M1004" s="1223"/>
      <c r="N1004" s="1223"/>
      <c r="O1004" s="1223"/>
      <c r="P1004" s="1223"/>
      <c r="Q1004" s="1223"/>
      <c r="R1004" s="1223"/>
      <c r="S1004" s="1223"/>
      <c r="T1004" s="1223"/>
      <c r="U1004" s="1223"/>
      <c r="V1004" s="1223"/>
      <c r="W1004" s="1223"/>
      <c r="X1004" s="1223"/>
      <c r="Y1004" s="1223"/>
      <c r="Z1004" s="1223"/>
      <c r="AA1004" s="1223"/>
      <c r="AB1004" s="1223"/>
      <c r="AC1004" s="1223"/>
      <c r="AD1004" s="1223"/>
      <c r="AE1004" s="1224"/>
      <c r="AF1004" s="82"/>
      <c r="AG1004" s="1225" t="s">
        <v>482</v>
      </c>
      <c r="AH1004" s="1226"/>
      <c r="AI1004" s="85"/>
      <c r="AJ1004" s="1203">
        <f>ROUND(IF(AG1004="yes",(AJ967*0.1),0),0)</f>
        <v>0</v>
      </c>
      <c r="AK1004" s="1204"/>
      <c r="AL1004" s="1204"/>
      <c r="AM1004" s="1204"/>
      <c r="AN1004" s="1204"/>
      <c r="AO1004" s="1204"/>
      <c r="AP1004" s="1204"/>
      <c r="AQ1004" s="1205"/>
      <c r="AT1004" s="43"/>
      <c r="AU1004" s="43"/>
      <c r="AV1004" s="43"/>
      <c r="AW1004" s="43"/>
      <c r="AX1004" s="38"/>
      <c r="AY1004" s="38"/>
      <c r="AZ1004" s="21"/>
      <c r="BA1004" s="21"/>
      <c r="BB1004" s="21"/>
      <c r="BC1004" s="43"/>
      <c r="BD1004" s="43"/>
    </row>
    <row r="1005" spans="1:97" ht="12.9" customHeight="1">
      <c r="A1005" s="21"/>
      <c r="B1005" s="79"/>
      <c r="C1005" s="556"/>
      <c r="D1005" s="1239" t="s">
        <v>1900</v>
      </c>
      <c r="E1005" s="1240"/>
      <c r="F1005" s="1240"/>
      <c r="G1005" s="1240"/>
      <c r="H1005" s="1240"/>
      <c r="I1005" s="1240"/>
      <c r="J1005" s="1240"/>
      <c r="K1005" s="1240"/>
      <c r="L1005" s="1240"/>
      <c r="M1005" s="1240"/>
      <c r="N1005" s="1240"/>
      <c r="O1005" s="1240"/>
      <c r="P1005" s="1240"/>
      <c r="Q1005" s="1240"/>
      <c r="R1005" s="1240"/>
      <c r="S1005" s="1240"/>
      <c r="T1005" s="1240"/>
      <c r="U1005" s="1240"/>
      <c r="V1005" s="1240"/>
      <c r="W1005" s="1240"/>
      <c r="X1005" s="1240"/>
      <c r="Y1005" s="1240"/>
      <c r="Z1005" s="1240"/>
      <c r="AA1005" s="1240"/>
      <c r="AB1005" s="1240"/>
      <c r="AC1005" s="1240"/>
      <c r="AD1005" s="1240"/>
      <c r="AE1005" s="1241"/>
      <c r="AF1005" s="79"/>
      <c r="AG1005" s="21"/>
      <c r="AH1005" s="21"/>
      <c r="AI1005" s="83"/>
      <c r="AJ1005" s="1206"/>
      <c r="AK1005" s="1207"/>
      <c r="AL1005" s="1207"/>
      <c r="AM1005" s="1207"/>
      <c r="AN1005" s="1207"/>
      <c r="AO1005" s="1207"/>
      <c r="AP1005" s="1207"/>
      <c r="AQ1005" s="1208"/>
      <c r="AT1005" s="43"/>
      <c r="AU1005" s="43"/>
      <c r="AV1005" s="43"/>
      <c r="AW1005" s="43"/>
      <c r="AX1005" s="38"/>
      <c r="AY1005" s="38"/>
      <c r="AZ1005" s="21"/>
      <c r="BA1005" s="21"/>
      <c r="BB1005" s="21"/>
      <c r="BC1005" s="43"/>
      <c r="BD1005" s="43"/>
    </row>
    <row r="1006" spans="1:97" ht="12.9" customHeight="1">
      <c r="A1006" s="554"/>
      <c r="B1006" s="80"/>
      <c r="C1006" s="556"/>
      <c r="D1006" s="1242"/>
      <c r="E1006" s="1243"/>
      <c r="F1006" s="1243"/>
      <c r="G1006" s="1243"/>
      <c r="H1006" s="1243"/>
      <c r="I1006" s="1243"/>
      <c r="J1006" s="1243"/>
      <c r="K1006" s="1243"/>
      <c r="L1006" s="1243"/>
      <c r="M1006" s="1243"/>
      <c r="N1006" s="1243"/>
      <c r="O1006" s="1243"/>
      <c r="P1006" s="1243"/>
      <c r="Q1006" s="1243"/>
      <c r="R1006" s="1243"/>
      <c r="S1006" s="1243"/>
      <c r="T1006" s="1243"/>
      <c r="U1006" s="1243"/>
      <c r="V1006" s="1243"/>
      <c r="W1006" s="1243"/>
      <c r="X1006" s="1243"/>
      <c r="Y1006" s="1243"/>
      <c r="Z1006" s="1243"/>
      <c r="AA1006" s="1243"/>
      <c r="AB1006" s="1243"/>
      <c r="AC1006" s="1243"/>
      <c r="AD1006" s="1243"/>
      <c r="AE1006" s="1244"/>
      <c r="AF1006" s="79"/>
      <c r="AG1006" s="21"/>
      <c r="AH1006" s="21"/>
      <c r="AI1006" s="83"/>
      <c r="AJ1006" s="1209"/>
      <c r="AK1006" s="1210"/>
      <c r="AL1006" s="1210"/>
      <c r="AM1006" s="1210"/>
      <c r="AN1006" s="1210"/>
      <c r="AO1006" s="1210"/>
      <c r="AP1006" s="1210"/>
      <c r="AQ1006" s="1211"/>
      <c r="AT1006" s="43"/>
      <c r="AU1006" s="43"/>
      <c r="AV1006" s="43"/>
      <c r="AW1006" s="43"/>
      <c r="AX1006" s="38"/>
      <c r="AY1006" s="38"/>
      <c r="AZ1006" s="21"/>
      <c r="BA1006" s="21"/>
      <c r="BB1006" s="21"/>
      <c r="BC1006" s="43"/>
      <c r="BD1006" s="43"/>
    </row>
    <row r="1007" spans="1:97" ht="12.9" customHeight="1">
      <c r="A1007" s="554"/>
      <c r="B1007" s="79"/>
      <c r="C1007" s="555" t="s">
        <v>581</v>
      </c>
      <c r="D1007" s="1246" t="s">
        <v>2002</v>
      </c>
      <c r="E1007" s="1247"/>
      <c r="F1007" s="1247"/>
      <c r="G1007" s="1247"/>
      <c r="H1007" s="1247"/>
      <c r="I1007" s="1247"/>
      <c r="J1007" s="1247"/>
      <c r="K1007" s="1247"/>
      <c r="L1007" s="1247"/>
      <c r="M1007" s="1247"/>
      <c r="N1007" s="1247"/>
      <c r="O1007" s="1247"/>
      <c r="P1007" s="1247"/>
      <c r="Q1007" s="1247"/>
      <c r="R1007" s="1247"/>
      <c r="S1007" s="1247"/>
      <c r="T1007" s="1247"/>
      <c r="U1007" s="1247"/>
      <c r="V1007" s="1247"/>
      <c r="W1007" s="1247"/>
      <c r="X1007" s="1247"/>
      <c r="Y1007" s="1247"/>
      <c r="Z1007" s="1247"/>
      <c r="AA1007" s="1247"/>
      <c r="AB1007" s="1247"/>
      <c r="AC1007" s="1247"/>
      <c r="AD1007" s="1247"/>
      <c r="AE1007" s="1248"/>
      <c r="AF1007" s="82"/>
      <c r="AG1007" s="1225" t="s">
        <v>482</v>
      </c>
      <c r="AH1007" s="1226"/>
      <c r="AI1007" s="85"/>
      <c r="AJ1007" s="1203">
        <f>ROUND(IF(AG1007="yes",(AJ967*0.15),0),0)</f>
        <v>0</v>
      </c>
      <c r="AK1007" s="1204"/>
      <c r="AL1007" s="1204"/>
      <c r="AM1007" s="1204"/>
      <c r="AN1007" s="1204"/>
      <c r="AO1007" s="1204"/>
      <c r="AP1007" s="1204"/>
      <c r="AQ1007" s="1205"/>
      <c r="AT1007" s="43"/>
      <c r="AU1007" s="43"/>
      <c r="AV1007" s="43"/>
      <c r="AW1007" s="43"/>
      <c r="AX1007" s="43"/>
      <c r="AY1007" s="43"/>
      <c r="AZ1007" s="43"/>
      <c r="BA1007" s="43"/>
      <c r="BB1007" s="43"/>
      <c r="BC1007" s="43"/>
      <c r="BD1007" s="43"/>
    </row>
    <row r="1008" spans="1:97" ht="12.9" customHeight="1">
      <c r="A1008" s="554"/>
      <c r="B1008" s="79"/>
      <c r="C1008" s="556"/>
      <c r="D1008" s="1234" t="s">
        <v>2003</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235"/>
      <c r="AF1008" s="871"/>
      <c r="AG1008" s="872"/>
      <c r="AH1008" s="872"/>
      <c r="AI1008" s="873"/>
      <c r="AJ1008" s="1206"/>
      <c r="AK1008" s="1207"/>
      <c r="AL1008" s="1207"/>
      <c r="AM1008" s="1207"/>
      <c r="AN1008" s="1207"/>
      <c r="AO1008" s="1207"/>
      <c r="AP1008" s="1207"/>
      <c r="AQ1008" s="120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23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235"/>
      <c r="AF1009" s="871"/>
      <c r="AG1009" s="872"/>
      <c r="AH1009" s="872"/>
      <c r="AI1009" s="873"/>
      <c r="AJ1009" s="1206"/>
      <c r="AK1009" s="1207"/>
      <c r="AL1009" s="1207"/>
      <c r="AM1009" s="1207"/>
      <c r="AN1009" s="1207"/>
      <c r="AO1009" s="1207"/>
      <c r="AP1009" s="1207"/>
      <c r="AQ1009" s="120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236"/>
      <c r="E1010" s="1237"/>
      <c r="F1010" s="1237"/>
      <c r="G1010" s="1237"/>
      <c r="H1010" s="1237"/>
      <c r="I1010" s="1237"/>
      <c r="J1010" s="1237"/>
      <c r="K1010" s="1237"/>
      <c r="L1010" s="1237"/>
      <c r="M1010" s="1237"/>
      <c r="N1010" s="1237"/>
      <c r="O1010" s="1237"/>
      <c r="P1010" s="1237"/>
      <c r="Q1010" s="1237"/>
      <c r="R1010" s="1237"/>
      <c r="S1010" s="1237"/>
      <c r="T1010" s="1237"/>
      <c r="U1010" s="1237"/>
      <c r="V1010" s="1237"/>
      <c r="W1010" s="1237"/>
      <c r="X1010" s="1237"/>
      <c r="Y1010" s="1237"/>
      <c r="Z1010" s="1237"/>
      <c r="AA1010" s="1237"/>
      <c r="AB1010" s="1237"/>
      <c r="AC1010" s="1237"/>
      <c r="AD1010" s="1237"/>
      <c r="AE1010" s="1238"/>
      <c r="AF1010" s="874"/>
      <c r="AG1010" s="875"/>
      <c r="AH1010" s="875"/>
      <c r="AI1010" s="876"/>
      <c r="AJ1010" s="1209"/>
      <c r="AK1010" s="1210"/>
      <c r="AL1010" s="1210"/>
      <c r="AM1010" s="1210"/>
      <c r="AN1010" s="1210"/>
      <c r="AO1010" s="1210"/>
      <c r="AP1010" s="1210"/>
      <c r="AQ1010" s="121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22" t="s">
        <v>2004</v>
      </c>
      <c r="E1011" s="1223"/>
      <c r="F1011" s="1223"/>
      <c r="G1011" s="1223"/>
      <c r="H1011" s="1223"/>
      <c r="I1011" s="1223"/>
      <c r="J1011" s="1223"/>
      <c r="K1011" s="1223"/>
      <c r="L1011" s="1223"/>
      <c r="M1011" s="1223"/>
      <c r="N1011" s="1223"/>
      <c r="O1011" s="1223"/>
      <c r="P1011" s="1223"/>
      <c r="Q1011" s="1223"/>
      <c r="R1011" s="1223"/>
      <c r="S1011" s="1223"/>
      <c r="T1011" s="1223"/>
      <c r="U1011" s="1223"/>
      <c r="V1011" s="1223"/>
      <c r="W1011" s="1223"/>
      <c r="X1011" s="1223"/>
      <c r="Y1011" s="1223"/>
      <c r="Z1011" s="1223"/>
      <c r="AA1011" s="1223"/>
      <c r="AB1011" s="1223"/>
      <c r="AC1011" s="1223"/>
      <c r="AD1011" s="1223"/>
      <c r="AE1011" s="1224"/>
      <c r="AF1011" s="79"/>
      <c r="AG1011" s="1232" t="s">
        <v>482</v>
      </c>
      <c r="AH1011" s="1233"/>
      <c r="AI1011" s="83"/>
      <c r="AJ1011" s="1203">
        <f>ROUND(IF(AG1011="yes",(AJ967*0.1),0),0)</f>
        <v>0</v>
      </c>
      <c r="AK1011" s="1204"/>
      <c r="AL1011" s="1204"/>
      <c r="AM1011" s="1204"/>
      <c r="AN1011" s="1204"/>
      <c r="AO1011" s="1204"/>
      <c r="AP1011" s="1204"/>
      <c r="AQ1011" s="120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234" t="s">
        <v>2005</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235"/>
      <c r="AF1012" s="79"/>
      <c r="AG1012" s="21"/>
      <c r="AH1012" s="21"/>
      <c r="AI1012" s="83"/>
      <c r="AJ1012" s="1206"/>
      <c r="AK1012" s="1207"/>
      <c r="AL1012" s="1207"/>
      <c r="AM1012" s="1207"/>
      <c r="AN1012" s="1207"/>
      <c r="AO1012" s="1207"/>
      <c r="AP1012" s="1207"/>
      <c r="AQ1012" s="120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23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235"/>
      <c r="AF1013" s="79"/>
      <c r="AG1013" s="21"/>
      <c r="AH1013" s="21"/>
      <c r="AI1013" s="83"/>
      <c r="AJ1013" s="1206"/>
      <c r="AK1013" s="1207"/>
      <c r="AL1013" s="1207"/>
      <c r="AM1013" s="1207"/>
      <c r="AN1013" s="1207"/>
      <c r="AO1013" s="1207"/>
      <c r="AP1013" s="1207"/>
      <c r="AQ1013" s="120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23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235"/>
      <c r="AF1014" s="79"/>
      <c r="AG1014" s="21"/>
      <c r="AH1014" s="21"/>
      <c r="AI1014" s="83"/>
      <c r="AJ1014" s="1206"/>
      <c r="AK1014" s="1207"/>
      <c r="AL1014" s="1207"/>
      <c r="AM1014" s="1207"/>
      <c r="AN1014" s="1207"/>
      <c r="AO1014" s="1207"/>
      <c r="AP1014" s="1207"/>
      <c r="AQ1014" s="120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236"/>
      <c r="E1015" s="1237"/>
      <c r="F1015" s="1237"/>
      <c r="G1015" s="1237"/>
      <c r="H1015" s="1237"/>
      <c r="I1015" s="1237"/>
      <c r="J1015" s="1237"/>
      <c r="K1015" s="1237"/>
      <c r="L1015" s="1237"/>
      <c r="M1015" s="1237"/>
      <c r="N1015" s="1237"/>
      <c r="O1015" s="1237"/>
      <c r="P1015" s="1237"/>
      <c r="Q1015" s="1237"/>
      <c r="R1015" s="1237"/>
      <c r="S1015" s="1237"/>
      <c r="T1015" s="1237"/>
      <c r="U1015" s="1237"/>
      <c r="V1015" s="1237"/>
      <c r="W1015" s="1237"/>
      <c r="X1015" s="1237"/>
      <c r="Y1015" s="1237"/>
      <c r="Z1015" s="1237"/>
      <c r="AA1015" s="1237"/>
      <c r="AB1015" s="1237"/>
      <c r="AC1015" s="1237"/>
      <c r="AD1015" s="1237"/>
      <c r="AE1015" s="1238"/>
      <c r="AF1015" s="79"/>
      <c r="AG1015" s="21"/>
      <c r="AH1015" s="21"/>
      <c r="AI1015" s="83"/>
      <c r="AJ1015" s="1206"/>
      <c r="AK1015" s="1207"/>
      <c r="AL1015" s="1207"/>
      <c r="AM1015" s="1207"/>
      <c r="AN1015" s="1207"/>
      <c r="AO1015" s="1207"/>
      <c r="AP1015" s="1207"/>
      <c r="AQ1015" s="120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246" t="s">
        <v>1901</v>
      </c>
      <c r="E1016" s="1247"/>
      <c r="F1016" s="1247"/>
      <c r="G1016" s="1247"/>
      <c r="H1016" s="1247"/>
      <c r="I1016" s="1247"/>
      <c r="J1016" s="1247"/>
      <c r="K1016" s="1247"/>
      <c r="L1016" s="1247"/>
      <c r="M1016" s="1247"/>
      <c r="N1016" s="1247"/>
      <c r="O1016" s="1247"/>
      <c r="P1016" s="1247"/>
      <c r="Q1016" s="1247"/>
      <c r="R1016" s="1247"/>
      <c r="S1016" s="1247"/>
      <c r="T1016" s="1247"/>
      <c r="U1016" s="1247"/>
      <c r="V1016" s="1247"/>
      <c r="W1016" s="1247"/>
      <c r="X1016" s="1247"/>
      <c r="Y1016" s="1247"/>
      <c r="Z1016" s="1247"/>
      <c r="AA1016" s="1247"/>
      <c r="AB1016" s="1247"/>
      <c r="AC1016" s="1247"/>
      <c r="AD1016" s="1247"/>
      <c r="AE1016" s="1248"/>
      <c r="AF1016" s="82"/>
      <c r="AG1016" s="1225" t="s">
        <v>108</v>
      </c>
      <c r="AH1016" s="1226"/>
      <c r="AI1016" s="85"/>
      <c r="AJ1016" s="1203">
        <f>ROUND(IF(AG1016="yes",(AJ967*0.1),0),0)</f>
        <v>3572122</v>
      </c>
      <c r="AK1016" s="1204"/>
      <c r="AL1016" s="1204"/>
      <c r="AM1016" s="1204"/>
      <c r="AN1016" s="1204"/>
      <c r="AO1016" s="1204"/>
      <c r="AP1016" s="1204"/>
      <c r="AQ1016" s="120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239" t="s">
        <v>2214</v>
      </c>
      <c r="E1017" s="1240"/>
      <c r="F1017" s="1240"/>
      <c r="G1017" s="1240"/>
      <c r="H1017" s="1240"/>
      <c r="I1017" s="1240"/>
      <c r="J1017" s="1240"/>
      <c r="K1017" s="1240"/>
      <c r="L1017" s="1240"/>
      <c r="M1017" s="1240"/>
      <c r="N1017" s="1240"/>
      <c r="O1017" s="1240"/>
      <c r="P1017" s="1240"/>
      <c r="Q1017" s="1240"/>
      <c r="R1017" s="1240"/>
      <c r="S1017" s="1240"/>
      <c r="T1017" s="1240"/>
      <c r="U1017" s="1240"/>
      <c r="V1017" s="1240"/>
      <c r="W1017" s="1240"/>
      <c r="X1017" s="1240"/>
      <c r="Y1017" s="1240"/>
      <c r="Z1017" s="1240"/>
      <c r="AA1017" s="1240"/>
      <c r="AB1017" s="1240"/>
      <c r="AC1017" s="1240"/>
      <c r="AD1017" s="1240"/>
      <c r="AE1017" s="1241"/>
      <c r="AF1017" s="79"/>
      <c r="AG1017" s="21"/>
      <c r="AH1017" s="21"/>
      <c r="AI1017" s="83"/>
      <c r="AJ1017" s="1206"/>
      <c r="AK1017" s="1207"/>
      <c r="AL1017" s="1207"/>
      <c r="AM1017" s="1207"/>
      <c r="AN1017" s="1207"/>
      <c r="AO1017" s="1207"/>
      <c r="AP1017" s="1207"/>
      <c r="AQ1017" s="120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239"/>
      <c r="E1018" s="1240"/>
      <c r="F1018" s="1240"/>
      <c r="G1018" s="1240"/>
      <c r="H1018" s="1240"/>
      <c r="I1018" s="1240"/>
      <c r="J1018" s="1240"/>
      <c r="K1018" s="1240"/>
      <c r="L1018" s="1240"/>
      <c r="M1018" s="1240"/>
      <c r="N1018" s="1240"/>
      <c r="O1018" s="1240"/>
      <c r="P1018" s="1240"/>
      <c r="Q1018" s="1240"/>
      <c r="R1018" s="1240"/>
      <c r="S1018" s="1240"/>
      <c r="T1018" s="1240"/>
      <c r="U1018" s="1240"/>
      <c r="V1018" s="1240"/>
      <c r="W1018" s="1240"/>
      <c r="X1018" s="1240"/>
      <c r="Y1018" s="1240"/>
      <c r="Z1018" s="1240"/>
      <c r="AA1018" s="1240"/>
      <c r="AB1018" s="1240"/>
      <c r="AC1018" s="1240"/>
      <c r="AD1018" s="1240"/>
      <c r="AE1018" s="1241"/>
      <c r="AF1018" s="79"/>
      <c r="AG1018" s="21"/>
      <c r="AH1018" s="21"/>
      <c r="AI1018" s="83"/>
      <c r="AJ1018" s="1206"/>
      <c r="AK1018" s="1207"/>
      <c r="AL1018" s="1207"/>
      <c r="AM1018" s="1207"/>
      <c r="AN1018" s="1207"/>
      <c r="AO1018" s="1207"/>
      <c r="AP1018" s="1207"/>
      <c r="AQ1018" s="120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242"/>
      <c r="E1019" s="1243"/>
      <c r="F1019" s="1243"/>
      <c r="G1019" s="1243"/>
      <c r="H1019" s="1243"/>
      <c r="I1019" s="1243"/>
      <c r="J1019" s="1243"/>
      <c r="K1019" s="1243"/>
      <c r="L1019" s="1243"/>
      <c r="M1019" s="1243"/>
      <c r="N1019" s="1243"/>
      <c r="O1019" s="1243"/>
      <c r="P1019" s="1243"/>
      <c r="Q1019" s="1243"/>
      <c r="R1019" s="1243"/>
      <c r="S1019" s="1243"/>
      <c r="T1019" s="1243"/>
      <c r="U1019" s="1243"/>
      <c r="V1019" s="1243"/>
      <c r="W1019" s="1243"/>
      <c r="X1019" s="1243"/>
      <c r="Y1019" s="1243"/>
      <c r="Z1019" s="1243"/>
      <c r="AA1019" s="1243"/>
      <c r="AB1019" s="1243"/>
      <c r="AC1019" s="1243"/>
      <c r="AD1019" s="1243"/>
      <c r="AE1019" s="1244"/>
      <c r="AF1019" s="79"/>
      <c r="AG1019" s="21"/>
      <c r="AH1019" s="21"/>
      <c r="AI1019" s="83"/>
      <c r="AJ1019" s="1209"/>
      <c r="AK1019" s="1210"/>
      <c r="AL1019" s="1210"/>
      <c r="AM1019" s="1210"/>
      <c r="AN1019" s="1210"/>
      <c r="AO1019" s="1210"/>
      <c r="AP1019" s="1210"/>
      <c r="AQ1019" s="121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82" t="s">
        <v>748</v>
      </c>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3"/>
      <c r="AJ1020" s="1584">
        <f>SUM(AJ967:AQ1019)</f>
        <v>40335881</v>
      </c>
      <c r="AK1020" s="1585"/>
      <c r="AL1020" s="1585"/>
      <c r="AM1020" s="1585"/>
      <c r="AN1020" s="1585"/>
      <c r="AO1020" s="1585"/>
      <c r="AP1020" s="1585"/>
      <c r="AQ1020" s="158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13">
        <f>'Sources and Uses Budget'!S106+'Sources and Uses Budget'!T106</f>
        <v>30953469</v>
      </c>
      <c r="Y1024" s="1413"/>
      <c r="Z1024" s="1413"/>
      <c r="AA1024" s="1413"/>
      <c r="AB1024" s="1413"/>
      <c r="AC1024" s="141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09">
        <f>IFERROR(X1024/AJ1020,"")</f>
        <v>0.76739290757030942</v>
      </c>
      <c r="Y1025" s="1410"/>
      <c r="Z1025" s="1410"/>
      <c r="AA1025" s="1410"/>
      <c r="AB1025" s="1410"/>
      <c r="AC1025" s="141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7"/>
      <c r="F1026" s="1247"/>
      <c r="G1026" s="1247"/>
      <c r="H1026" s="1247"/>
      <c r="I1026" s="1247"/>
      <c r="J1026" s="1247"/>
      <c r="K1026" s="1247"/>
      <c r="L1026" s="1247"/>
      <c r="M1026" s="1247"/>
      <c r="N1026" s="1247"/>
      <c r="O1026" s="1247"/>
      <c r="P1026" s="1247"/>
      <c r="Q1026" s="1247"/>
      <c r="R1026" s="1247"/>
      <c r="S1026" s="1247"/>
      <c r="T1026" s="1247"/>
      <c r="U1026" s="1247"/>
      <c r="V1026" s="1247"/>
      <c r="W1026" s="1247"/>
      <c r="X1026" s="1247"/>
      <c r="Y1026" s="1247"/>
      <c r="Z1026" s="1247"/>
      <c r="AA1026" s="1247"/>
      <c r="AB1026" s="1247"/>
      <c r="AC1026" s="1247"/>
      <c r="AD1026" s="1247"/>
      <c r="AE1026" s="1247"/>
      <c r="AF1026" s="1247"/>
      <c r="AG1026" s="1247"/>
      <c r="AH1026" s="1247"/>
      <c r="AI1026" s="1247"/>
      <c r="AJ1026" s="1247"/>
      <c r="AK1026" s="124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7"/>
      <c r="E1027" s="1247"/>
      <c r="F1027" s="1247"/>
      <c r="G1027" s="1247"/>
      <c r="H1027" s="1247"/>
      <c r="I1027" s="1247"/>
      <c r="J1027" s="1247"/>
      <c r="K1027" s="1247"/>
      <c r="L1027" s="1247"/>
      <c r="M1027" s="1247"/>
      <c r="N1027" s="1247"/>
      <c r="O1027" s="1247"/>
      <c r="P1027" s="1247"/>
      <c r="Q1027" s="1247"/>
      <c r="R1027" s="1247"/>
      <c r="S1027" s="1247"/>
      <c r="T1027" s="1247"/>
      <c r="U1027" s="1247"/>
      <c r="V1027" s="1247"/>
      <c r="W1027" s="1247"/>
      <c r="X1027" s="1247"/>
      <c r="Y1027" s="1247"/>
      <c r="Z1027" s="1247"/>
      <c r="AA1027" s="1247"/>
      <c r="AB1027" s="1247"/>
      <c r="AC1027" s="1247"/>
      <c r="AD1027" s="1247"/>
      <c r="AE1027" s="1247"/>
      <c r="AF1027" s="1247"/>
      <c r="AG1027" s="1247"/>
      <c r="AH1027" s="1247"/>
      <c r="AI1027" s="1247"/>
      <c r="AJ1027" s="1247"/>
      <c r="AK1027" s="124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7"/>
      <c r="E1028" s="1247"/>
      <c r="F1028" s="1247"/>
      <c r="G1028" s="1247"/>
      <c r="H1028" s="1247"/>
      <c r="I1028" s="1247"/>
      <c r="J1028" s="1247"/>
      <c r="K1028" s="1247"/>
      <c r="L1028" s="1247"/>
      <c r="M1028" s="1247"/>
      <c r="N1028" s="1247"/>
      <c r="O1028" s="1247"/>
      <c r="P1028" s="1247"/>
      <c r="Q1028" s="1247"/>
      <c r="R1028" s="1247"/>
      <c r="S1028" s="1247"/>
      <c r="T1028" s="1247"/>
      <c r="U1028" s="1247"/>
      <c r="V1028" s="1247"/>
      <c r="W1028" s="1247"/>
      <c r="X1028" s="1247"/>
      <c r="Y1028" s="1247"/>
      <c r="Z1028" s="1247"/>
      <c r="AA1028" s="1247"/>
      <c r="AB1028" s="1247"/>
      <c r="AC1028" s="1247"/>
      <c r="AD1028" s="1247"/>
      <c r="AE1028" s="1247"/>
      <c r="AF1028" s="1247"/>
      <c r="AG1028" s="1247"/>
      <c r="AH1028" s="1247"/>
      <c r="AI1028" s="1247"/>
      <c r="AJ1028" s="1247"/>
      <c r="AK1028" s="124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12"/>
      <c r="C1031" s="1412"/>
      <c r="D1031" s="1412"/>
      <c r="E1031" s="1412"/>
      <c r="F1031" s="1412"/>
      <c r="G1031" s="1412"/>
      <c r="H1031" s="1412"/>
      <c r="I1031" s="1412"/>
      <c r="J1031" s="1412"/>
      <c r="K1031" s="1412"/>
      <c r="L1031" s="1412"/>
      <c r="M1031" s="1412"/>
      <c r="N1031" s="1412"/>
      <c r="O1031" s="1412"/>
      <c r="P1031" s="1412"/>
      <c r="Q1031" s="1412"/>
      <c r="R1031" s="1412"/>
      <c r="S1031" s="1412"/>
      <c r="T1031" s="1412"/>
      <c r="U1031" s="1412"/>
      <c r="V1031" s="1412"/>
      <c r="W1031" s="1412"/>
      <c r="X1031" s="1412"/>
      <c r="Y1031" s="1412"/>
      <c r="Z1031" s="1412"/>
      <c r="AA1031" s="1412"/>
      <c r="AB1031" s="1412"/>
      <c r="AC1031" s="1412"/>
      <c r="AD1031" s="1412"/>
      <c r="AE1031" s="1412"/>
      <c r="AF1031" s="1412"/>
      <c r="AG1031" s="1412"/>
      <c r="AH1031" s="1412"/>
      <c r="AI1031" s="1412"/>
      <c r="AJ1031" s="1412"/>
      <c r="AK1031" s="141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245" t="s">
        <v>989</v>
      </c>
      <c r="B1032" s="1245"/>
      <c r="C1032" s="1245"/>
      <c r="D1032" s="1245"/>
      <c r="E1032" s="1245"/>
      <c r="F1032" s="1245"/>
      <c r="G1032" s="1245"/>
      <c r="H1032" s="1245"/>
      <c r="I1032" s="1245"/>
      <c r="J1032" s="1245"/>
      <c r="K1032" s="1245"/>
      <c r="L1032" s="1245"/>
      <c r="M1032" s="1245"/>
      <c r="N1032" s="1245"/>
      <c r="O1032" s="1245"/>
      <c r="P1032" s="1245"/>
      <c r="Q1032" s="1245"/>
      <c r="R1032" s="1245"/>
      <c r="S1032" s="1245"/>
      <c r="T1032" s="1245"/>
      <c r="U1032" s="1245"/>
      <c r="V1032" s="1245"/>
      <c r="W1032" s="1245"/>
      <c r="X1032" s="1245"/>
      <c r="Y1032" s="1245"/>
      <c r="Z1032" s="1245"/>
      <c r="AA1032" s="1245"/>
      <c r="AB1032" s="1245"/>
      <c r="AC1032" s="1245"/>
      <c r="AD1032" s="1245"/>
      <c r="AE1032" s="1245"/>
      <c r="AF1032" s="1245"/>
      <c r="AG1032" s="1245"/>
      <c r="AH1032" s="1245"/>
      <c r="AI1032" s="1245"/>
      <c r="AJ1032" s="1245"/>
      <c r="AK1032" s="1245"/>
      <c r="AL1032" s="1245"/>
      <c r="AM1032" s="1245"/>
      <c r="AN1032" s="1245"/>
      <c r="AO1032" s="1245"/>
      <c r="AP1032" s="1245"/>
      <c r="AQ1032" s="1245"/>
      <c r="AR1032" s="1245"/>
      <c r="AS1032" s="1245"/>
      <c r="AT1032" s="12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75" t="s">
        <v>124</v>
      </c>
      <c r="B1036" s="1175"/>
      <c r="C1036" s="12">
        <v>1</v>
      </c>
      <c r="D1036" s="977" t="s">
        <v>1519</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75" t="s">
        <v>124</v>
      </c>
      <c r="B1042" s="1175"/>
      <c r="C1042" s="12">
        <v>2</v>
      </c>
      <c r="D1042" s="970" t="s">
        <v>1520</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75" t="s">
        <v>124</v>
      </c>
      <c r="B1048" s="1175"/>
      <c r="C1048" s="12">
        <v>3</v>
      </c>
      <c r="D1048" s="970" t="s">
        <v>2213</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75" t="s">
        <v>124</v>
      </c>
      <c r="B1055" s="1175"/>
      <c r="C1055" s="12">
        <v>4</v>
      </c>
      <c r="D1055" s="970" t="s">
        <v>2045</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75" t="s">
        <v>124</v>
      </c>
      <c r="B1059" s="1175"/>
      <c r="C1059" s="12">
        <v>5</v>
      </c>
      <c r="D1059" s="970" t="s">
        <v>1721</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75" t="s">
        <v>124</v>
      </c>
      <c r="B1063" s="1175"/>
      <c r="C1063" s="12">
        <v>6</v>
      </c>
      <c r="D1063" s="977" t="s">
        <v>1521</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75" t="s">
        <v>124</v>
      </c>
      <c r="B1066" s="1175"/>
      <c r="C1066" s="350">
        <v>7</v>
      </c>
      <c r="D1066" s="977" t="s">
        <v>1523</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75" t="s">
        <v>124</v>
      </c>
      <c r="B1071" s="1175"/>
      <c r="C1071" s="350">
        <v>8</v>
      </c>
      <c r="D1071" s="970" t="s">
        <v>2017</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 customHeight="1">
      <c r="A1075" s="1556" t="s">
        <v>124</v>
      </c>
      <c r="B1075" s="1556"/>
      <c r="C1075" s="350">
        <v>9</v>
      </c>
      <c r="D1075" s="970" t="s">
        <v>1522</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I624:BJ624"/>
    <mergeCell ref="BK624:BL624"/>
    <mergeCell ref="BE625:BF625"/>
    <mergeCell ref="BG625:BH625"/>
    <mergeCell ref="BI625:BJ625"/>
    <mergeCell ref="BK625:BL625"/>
    <mergeCell ref="BN624:BR624"/>
    <mergeCell ref="BN616:BR616"/>
    <mergeCell ref="BS616:BW616"/>
    <mergeCell ref="BX616:CB616"/>
    <mergeCell ref="CC616:CG616"/>
    <mergeCell ref="BN617:BR617"/>
    <mergeCell ref="BS617:BW617"/>
    <mergeCell ref="BX617:CB617"/>
    <mergeCell ref="CC617:CG617"/>
    <mergeCell ref="BN618:BR618"/>
    <mergeCell ref="BS618:BW618"/>
    <mergeCell ref="BX618:CB618"/>
    <mergeCell ref="CC618:CG618"/>
    <mergeCell ref="BE618:BF618"/>
    <mergeCell ref="BG618:BH618"/>
    <mergeCell ref="BI618:BJ618"/>
    <mergeCell ref="BK618:BL618"/>
    <mergeCell ref="BE619:BF619"/>
    <mergeCell ref="BG619:BH619"/>
    <mergeCell ref="BI619:BJ619"/>
    <mergeCell ref="BG621:BH621"/>
    <mergeCell ref="BI621:BJ621"/>
    <mergeCell ref="BK621:BL621"/>
    <mergeCell ref="BE622:BF622"/>
    <mergeCell ref="BG622:BH622"/>
    <mergeCell ref="BI622:BJ622"/>
    <mergeCell ref="BK622:BL622"/>
    <mergeCell ref="AM726:AO726"/>
    <mergeCell ref="B727:F727"/>
    <mergeCell ref="G727:J727"/>
    <mergeCell ref="K727:N727"/>
    <mergeCell ref="O727:S727"/>
    <mergeCell ref="T727:X727"/>
    <mergeCell ref="Y727:AB727"/>
    <mergeCell ref="AC727:AG727"/>
    <mergeCell ref="AH727:AL727"/>
    <mergeCell ref="AM727:AO727"/>
    <mergeCell ref="B723:F723"/>
    <mergeCell ref="G723:J723"/>
    <mergeCell ref="K723:N723"/>
    <mergeCell ref="O723:S723"/>
    <mergeCell ref="T723:X723"/>
    <mergeCell ref="Y723:AB723"/>
    <mergeCell ref="AC723:AG723"/>
    <mergeCell ref="AM721:AO721"/>
    <mergeCell ref="B722:F722"/>
    <mergeCell ref="BE623:BF623"/>
    <mergeCell ref="BG623:BH623"/>
    <mergeCell ref="BI623:BJ623"/>
    <mergeCell ref="BK623:BL623"/>
    <mergeCell ref="BE624:BF624"/>
    <mergeCell ref="BG624:BH624"/>
    <mergeCell ref="G722:J722"/>
    <mergeCell ref="K722:N722"/>
    <mergeCell ref="O722:S722"/>
    <mergeCell ref="T722:X722"/>
    <mergeCell ref="Y722:AB722"/>
    <mergeCell ref="AC722:AG722"/>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E395:AJ395"/>
    <mergeCell ref="AG387:AJ387"/>
    <mergeCell ref="AC363:AF363"/>
    <mergeCell ref="M352:N352"/>
    <mergeCell ref="Q386:U386"/>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C519:AF519"/>
    <mergeCell ref="AC517:AF517"/>
    <mergeCell ref="AC523:AF523"/>
    <mergeCell ref="AH515:AK515"/>
    <mergeCell ref="AC529:AF529"/>
    <mergeCell ref="AC530:AF530"/>
    <mergeCell ref="AC526:AF526"/>
    <mergeCell ref="W464:Y464"/>
    <mergeCell ref="AC378:AJ378"/>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P876:AS876"/>
    <mergeCell ref="E864:AB864"/>
    <mergeCell ref="W845:AC845"/>
    <mergeCell ref="W846:AC846"/>
    <mergeCell ref="W854:AC854"/>
    <mergeCell ref="M856:V856"/>
    <mergeCell ref="G715:J715"/>
    <mergeCell ref="J756:N756"/>
    <mergeCell ref="B714:F714"/>
    <mergeCell ref="J748:N751"/>
    <mergeCell ref="B695:F695"/>
    <mergeCell ref="B546:L548"/>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M806:P806"/>
    <mergeCell ref="U805:X805"/>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O697:S697"/>
    <mergeCell ref="T697:X697"/>
    <mergeCell ref="Y697:AB697"/>
    <mergeCell ref="T701:X701"/>
    <mergeCell ref="Y701:AB701"/>
    <mergeCell ref="K706:N706"/>
    <mergeCell ref="M618:P620"/>
    <mergeCell ref="AK622:AN622"/>
    <mergeCell ref="AK618:AN620"/>
    <mergeCell ref="M627:P627"/>
    <mergeCell ref="W627:Y627"/>
    <mergeCell ref="AC532:AF532"/>
    <mergeCell ref="D463:V463"/>
    <mergeCell ref="D432:AF432"/>
    <mergeCell ref="W463:Y463"/>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AC805:AF805"/>
    <mergeCell ref="Y805:AB805"/>
    <mergeCell ref="AC775:AG775"/>
    <mergeCell ref="U807:X807"/>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F923:H923"/>
    <mergeCell ref="F924:H924"/>
    <mergeCell ref="F925:H925"/>
    <mergeCell ref="F926:H926"/>
    <mergeCell ref="F922:H922"/>
    <mergeCell ref="I922:T922"/>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F630:AJ630"/>
    <mergeCell ref="AK630:AN630"/>
    <mergeCell ref="G705:J70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Z629:AB629"/>
    <mergeCell ref="Z630:AB630"/>
    <mergeCell ref="AK625:AN625"/>
    <mergeCell ref="AF625:AJ625"/>
    <mergeCell ref="B698:F698"/>
    <mergeCell ref="G699:J699"/>
    <mergeCell ref="B711:F711"/>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AG976:AH976"/>
    <mergeCell ref="AJ976:AQ981"/>
    <mergeCell ref="D987:AE987"/>
    <mergeCell ref="AB966:AI966"/>
    <mergeCell ref="AJ966:AQ966"/>
    <mergeCell ref="B967:AI967"/>
    <mergeCell ref="M943:S943"/>
    <mergeCell ref="M947:S947"/>
    <mergeCell ref="AA946:AG946"/>
    <mergeCell ref="M946:S946"/>
    <mergeCell ref="AA944:AG944"/>
    <mergeCell ref="AB964:AI964"/>
    <mergeCell ref="D969:AE969"/>
    <mergeCell ref="D982:AE982"/>
    <mergeCell ref="AO621:AS621"/>
    <mergeCell ref="AK624:AN624"/>
    <mergeCell ref="AC627:AE627"/>
    <mergeCell ref="W631:Y631"/>
    <mergeCell ref="W632:Y632"/>
    <mergeCell ref="Q628:S628"/>
    <mergeCell ref="Q629:S629"/>
    <mergeCell ref="Q630:S630"/>
    <mergeCell ref="T627:V627"/>
    <mergeCell ref="T628:V628"/>
    <mergeCell ref="T629:V629"/>
    <mergeCell ref="T630:V630"/>
    <mergeCell ref="Z627:AB627"/>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M628:P628"/>
    <mergeCell ref="M629:P629"/>
    <mergeCell ref="AC618:AE620"/>
    <mergeCell ref="AF618:AJ620"/>
    <mergeCell ref="AF622:AJ622"/>
    <mergeCell ref="W630:Y630"/>
    <mergeCell ref="AF628:AJ628"/>
    <mergeCell ref="AG593:AH593"/>
    <mergeCell ref="W618:Y620"/>
    <mergeCell ref="Q618:S620"/>
    <mergeCell ref="T618:V620"/>
    <mergeCell ref="C631:L631"/>
    <mergeCell ref="C632:L632"/>
    <mergeCell ref="Z631:AB631"/>
    <mergeCell ref="Z632:AB632"/>
    <mergeCell ref="Q627:S627"/>
    <mergeCell ref="AF968:AI968"/>
    <mergeCell ref="AJ968:AQ968"/>
    <mergeCell ref="N609:O609"/>
    <mergeCell ref="M630:P630"/>
    <mergeCell ref="Z628:AB628"/>
    <mergeCell ref="G697:J697"/>
    <mergeCell ref="B697:F697"/>
    <mergeCell ref="AJ964:AQ964"/>
    <mergeCell ref="AO625:AS625"/>
    <mergeCell ref="G649:L649"/>
    <mergeCell ref="G640:R640"/>
    <mergeCell ref="Z648:AK648"/>
    <mergeCell ref="AO628:AS628"/>
    <mergeCell ref="AC629:AE629"/>
    <mergeCell ref="AF629:AJ629"/>
    <mergeCell ref="AK629:AN629"/>
    <mergeCell ref="AO629:AS629"/>
    <mergeCell ref="AC630:AE630"/>
    <mergeCell ref="D203:M203"/>
    <mergeCell ref="Z582:AK582"/>
    <mergeCell ref="AI607:AK607"/>
    <mergeCell ref="Z599:AE599"/>
    <mergeCell ref="G591:L591"/>
    <mergeCell ref="P591:R591"/>
    <mergeCell ref="Z595:AK595"/>
    <mergeCell ref="G581:R581"/>
    <mergeCell ref="G595:R595"/>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I583:AK583"/>
    <mergeCell ref="AG585:AH585"/>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C556:L556"/>
    <mergeCell ref="M556:P556"/>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Z567:AE567"/>
    <mergeCell ref="AI567:AK567"/>
    <mergeCell ref="Z597:AK597"/>
    <mergeCell ref="AA592:AK592"/>
    <mergeCell ref="Z563:AK563"/>
    <mergeCell ref="Z589:AK589"/>
    <mergeCell ref="P607:R607"/>
    <mergeCell ref="Z572:AK572"/>
    <mergeCell ref="G564:R564"/>
    <mergeCell ref="G563:R563"/>
    <mergeCell ref="P575:R575"/>
    <mergeCell ref="G567:L567"/>
    <mergeCell ref="G607:L607"/>
    <mergeCell ref="H600:R600"/>
    <mergeCell ref="G589:R589"/>
    <mergeCell ref="G587:R587"/>
    <mergeCell ref="BE592:BF592"/>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Z606:AK606"/>
    <mergeCell ref="G575:L575"/>
    <mergeCell ref="Z575:AE575"/>
    <mergeCell ref="G599:L599"/>
    <mergeCell ref="BE595:BF595"/>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E609:BF609"/>
    <mergeCell ref="BK604:BL604"/>
    <mergeCell ref="BE612:BF612"/>
    <mergeCell ref="BI605:BJ605"/>
    <mergeCell ref="BE616:BF616"/>
    <mergeCell ref="BG616:BH616"/>
    <mergeCell ref="BI616:BJ616"/>
    <mergeCell ref="BK616:BL616"/>
    <mergeCell ref="BE617:BF617"/>
    <mergeCell ref="BG617:BH617"/>
    <mergeCell ref="BI617:BJ617"/>
    <mergeCell ref="BK617:BL617"/>
    <mergeCell ref="BK619:BL619"/>
    <mergeCell ref="BE620:BF620"/>
    <mergeCell ref="BG620:BH620"/>
    <mergeCell ref="BI620:BJ620"/>
    <mergeCell ref="BK620:BL620"/>
    <mergeCell ref="BE621:BF621"/>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A611:AT612"/>
    <mergeCell ref="AO622:AS622"/>
    <mergeCell ref="AF621:AJ621"/>
    <mergeCell ref="Z618:AB620"/>
    <mergeCell ref="AO623:AS623"/>
    <mergeCell ref="AO624:AS624"/>
    <mergeCell ref="AF623:AJ623"/>
    <mergeCell ref="AK623:AN623"/>
    <mergeCell ref="AO618:AS620"/>
    <mergeCell ref="Z638:AK638"/>
    <mergeCell ref="G637:R637"/>
    <mergeCell ref="Z637:AK637"/>
    <mergeCell ref="G657:L657"/>
    <mergeCell ref="BI615:BJ615"/>
    <mergeCell ref="BI610:BJ610"/>
    <mergeCell ref="BE614:BF614"/>
    <mergeCell ref="BG614:BH614"/>
    <mergeCell ref="BI608:BJ608"/>
    <mergeCell ref="AF624:AJ624"/>
    <mergeCell ref="AM695:AO695"/>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X1025:AC1025"/>
    <mergeCell ref="B1031:AK1031"/>
    <mergeCell ref="X1024:AC1024"/>
    <mergeCell ref="U925:Z925"/>
    <mergeCell ref="L933:S933"/>
    <mergeCell ref="L932:S932"/>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O701:S701"/>
    <mergeCell ref="G679:R679"/>
    <mergeCell ref="Z681:AE681"/>
    <mergeCell ref="G704:J704"/>
    <mergeCell ref="C740:AM747"/>
    <mergeCell ref="G719:J719"/>
    <mergeCell ref="K719:N719"/>
    <mergeCell ref="O700:S700"/>
    <mergeCell ref="T700:X700"/>
    <mergeCell ref="Y700:AB700"/>
    <mergeCell ref="G696:J696"/>
    <mergeCell ref="O691:S694"/>
    <mergeCell ref="B718:F718"/>
    <mergeCell ref="Z656:AK656"/>
    <mergeCell ref="G656:R656"/>
    <mergeCell ref="H658:R658"/>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G717:J717"/>
    <mergeCell ref="T716:X716"/>
    <mergeCell ref="G647:R647"/>
    <mergeCell ref="G641:L641"/>
    <mergeCell ref="AO634:AS634"/>
    <mergeCell ref="G665:L665"/>
    <mergeCell ref="Z679:AK679"/>
    <mergeCell ref="AG667:AH667"/>
    <mergeCell ref="AI673:AK673"/>
    <mergeCell ref="AH517:AK517"/>
    <mergeCell ref="AC510:AF510"/>
    <mergeCell ref="AH496:AK496"/>
    <mergeCell ref="AH501:AK501"/>
    <mergeCell ref="D446:AJ446"/>
    <mergeCell ref="W466:Y466"/>
    <mergeCell ref="W462:Y462"/>
    <mergeCell ref="AK628:AN628"/>
    <mergeCell ref="B512:H514"/>
    <mergeCell ref="AH491:AK491"/>
    <mergeCell ref="AC501:AF501"/>
    <mergeCell ref="AC513:AF513"/>
    <mergeCell ref="T559:V559"/>
    <mergeCell ref="W559:Y559"/>
    <mergeCell ref="Z559:AD559"/>
    <mergeCell ref="AE559:AH559"/>
    <mergeCell ref="AI559:AL559"/>
    <mergeCell ref="W558:Y558"/>
    <mergeCell ref="Z558:AD558"/>
    <mergeCell ref="AE558:AH558"/>
    <mergeCell ref="AH519:AK519"/>
    <mergeCell ref="AC515:AF515"/>
    <mergeCell ref="AC516:AF516"/>
    <mergeCell ref="AH516:AK516"/>
    <mergeCell ref="AC506:AF506"/>
    <mergeCell ref="AH506:AK506"/>
    <mergeCell ref="AH511:AK511"/>
    <mergeCell ref="AH512:AK512"/>
    <mergeCell ref="AC509:AF509"/>
    <mergeCell ref="AC512:AF512"/>
    <mergeCell ref="Z580:AK580"/>
    <mergeCell ref="Z574:AK574"/>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03:AK503"/>
    <mergeCell ref="AH502:AK502"/>
    <mergeCell ref="Q484:AK484"/>
    <mergeCell ref="S395:U395"/>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Q481:AK481"/>
    <mergeCell ref="AG438:AJ438"/>
    <mergeCell ref="Z427:AA427"/>
    <mergeCell ref="AC511:AF511"/>
    <mergeCell ref="AH514:AK514"/>
    <mergeCell ref="O515:AA515"/>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H531:AK531"/>
    <mergeCell ref="O530:AA530"/>
    <mergeCell ref="AH532:AK532"/>
    <mergeCell ref="M553:P553"/>
    <mergeCell ref="AM549:AS549"/>
    <mergeCell ref="Z550:AD550"/>
    <mergeCell ref="AE550:AH550"/>
    <mergeCell ref="AC518:AF518"/>
    <mergeCell ref="AC527:AF527"/>
    <mergeCell ref="AC522:AF522"/>
    <mergeCell ref="O518:AA518"/>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Z551:AD551"/>
    <mergeCell ref="AH523:AK523"/>
    <mergeCell ref="AC537:AF537"/>
    <mergeCell ref="AC520:AF520"/>
    <mergeCell ref="AH518:AK518"/>
    <mergeCell ref="AH522:AK522"/>
    <mergeCell ref="AC524:AF524"/>
    <mergeCell ref="AH525:AK525"/>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CH616:CL616"/>
    <mergeCell ref="CM616:CQ616"/>
    <mergeCell ref="CH617:CL617"/>
    <mergeCell ref="CM617:CQ617"/>
    <mergeCell ref="CH618:CL618"/>
    <mergeCell ref="CM618:CQ618"/>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BN644:BR644"/>
    <mergeCell ref="BS644:BW644"/>
    <mergeCell ref="BX644:CB644"/>
    <mergeCell ref="Z671:AK671"/>
    <mergeCell ref="Z680:AK680"/>
    <mergeCell ref="G678:R678"/>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G691:J694"/>
    <mergeCell ref="AG683:AH683"/>
    <mergeCell ref="AA658:AK658"/>
    <mergeCell ref="Z669:AK669"/>
    <mergeCell ref="G661:R661"/>
    <mergeCell ref="G664:R664"/>
    <mergeCell ref="G669:R669"/>
    <mergeCell ref="Z654:AK654"/>
    <mergeCell ref="AG651:AH651"/>
    <mergeCell ref="Z653:AK653"/>
    <mergeCell ref="K691:N694"/>
    <mergeCell ref="AC699:AG699"/>
    <mergeCell ref="K705:N705"/>
    <mergeCell ref="O705:S705"/>
    <mergeCell ref="T705:X705"/>
    <mergeCell ref="Y705:AB705"/>
    <mergeCell ref="AC705:AG705"/>
    <mergeCell ref="AH705:AL705"/>
    <mergeCell ref="G653:R653"/>
    <mergeCell ref="G695:J695"/>
    <mergeCell ref="T695:X695"/>
    <mergeCell ref="T691:X694"/>
    <mergeCell ref="Y691:AB694"/>
    <mergeCell ref="AC691:AG694"/>
    <mergeCell ref="AH691:AL694"/>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O702:S702"/>
    <mergeCell ref="T702:X702"/>
    <mergeCell ref="Y702:AB702"/>
    <mergeCell ref="AC702:AG702"/>
    <mergeCell ref="AH702:AL702"/>
    <mergeCell ref="AM702:AO702"/>
    <mergeCell ref="AM703:AO703"/>
    <mergeCell ref="K704:N704"/>
    <mergeCell ref="O704:S704"/>
    <mergeCell ref="T704:X704"/>
    <mergeCell ref="Y704:AB704"/>
    <mergeCell ref="AM704:AO704"/>
    <mergeCell ref="AH704:AL704"/>
    <mergeCell ref="AC704:AG704"/>
    <mergeCell ref="AM700:AO700"/>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K708:N70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3:N713"/>
    <mergeCell ref="O713:S713"/>
    <mergeCell ref="T713:X713"/>
    <mergeCell ref="Y713:AB713"/>
    <mergeCell ref="AC713:AG713"/>
    <mergeCell ref="AH713:AL713"/>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Q550:S550"/>
    <mergeCell ref="T550:V550"/>
    <mergeCell ref="W550:Y550"/>
    <mergeCell ref="W549:Y549"/>
    <mergeCell ref="Q551:S551"/>
    <mergeCell ref="T551:V551"/>
    <mergeCell ref="W551:Y551"/>
    <mergeCell ref="Q549:S549"/>
    <mergeCell ref="T549:V549"/>
    <mergeCell ref="C549:L549"/>
    <mergeCell ref="M549:P549"/>
    <mergeCell ref="C550:L550"/>
    <mergeCell ref="M550:P550"/>
    <mergeCell ref="C551:L551"/>
    <mergeCell ref="M551:P551"/>
    <mergeCell ref="AC621:AE621"/>
    <mergeCell ref="Z621:AB621"/>
    <mergeCell ref="T556:V556"/>
    <mergeCell ref="W556:Y556"/>
    <mergeCell ref="Z556:AD556"/>
    <mergeCell ref="AE556:AH556"/>
    <mergeCell ref="Z581:AK581"/>
    <mergeCell ref="G603:R603"/>
    <mergeCell ref="N601:O601"/>
    <mergeCell ref="Z565:AK565"/>
    <mergeCell ref="G565:R565"/>
    <mergeCell ref="H568:R568"/>
    <mergeCell ref="G566:R566"/>
    <mergeCell ref="G572:R572"/>
    <mergeCell ref="C557:L557"/>
    <mergeCell ref="C621:L621"/>
    <mergeCell ref="G574:R574"/>
    <mergeCell ref="T621:V621"/>
    <mergeCell ref="T622:V622"/>
    <mergeCell ref="AC622:AE622"/>
    <mergeCell ref="W622:Y622"/>
    <mergeCell ref="W621:Y621"/>
    <mergeCell ref="M623:P623"/>
    <mergeCell ref="T623:V623"/>
    <mergeCell ref="T624:V624"/>
    <mergeCell ref="T625:V625"/>
    <mergeCell ref="M624:P624"/>
    <mergeCell ref="Q626:S626"/>
    <mergeCell ref="M625:P625"/>
    <mergeCell ref="T626:V626"/>
    <mergeCell ref="Z625:AB625"/>
    <mergeCell ref="Z626:AB626"/>
    <mergeCell ref="AC626:AE626"/>
    <mergeCell ref="Q621:S621"/>
    <mergeCell ref="Q622:S622"/>
    <mergeCell ref="W623:Y623"/>
    <mergeCell ref="W624:Y624"/>
    <mergeCell ref="W625:Y625"/>
    <mergeCell ref="W626:Y626"/>
    <mergeCell ref="Q625:S625"/>
    <mergeCell ref="Q623:S623"/>
    <mergeCell ref="Q624:S624"/>
    <mergeCell ref="AC625:AE625"/>
    <mergeCell ref="M621:P621"/>
    <mergeCell ref="M622:P622"/>
    <mergeCell ref="M626:P626"/>
    <mergeCell ref="C622:L622"/>
    <mergeCell ref="C623:L623"/>
    <mergeCell ref="C624:L624"/>
    <mergeCell ref="C625:L625"/>
    <mergeCell ref="C626:L626"/>
    <mergeCell ref="K702:N702"/>
    <mergeCell ref="K698:N698"/>
    <mergeCell ref="K700:N700"/>
    <mergeCell ref="K699:N699"/>
    <mergeCell ref="K701:N701"/>
    <mergeCell ref="K696:N696"/>
    <mergeCell ref="K695:N695"/>
    <mergeCell ref="K697:N697"/>
    <mergeCell ref="Z622:AB622"/>
    <mergeCell ref="Z623:AB623"/>
    <mergeCell ref="Z624:AB624"/>
    <mergeCell ref="B634:AN634"/>
    <mergeCell ref="AM697:AO697"/>
    <mergeCell ref="O698:S698"/>
    <mergeCell ref="T698:X698"/>
    <mergeCell ref="B702:F702"/>
    <mergeCell ref="AO627:AS627"/>
    <mergeCell ref="AO635:AS635"/>
    <mergeCell ref="AA642:AK642"/>
    <mergeCell ref="AK627:AN627"/>
    <mergeCell ref="AF627:AJ627"/>
    <mergeCell ref="AC628:AE628"/>
    <mergeCell ref="AC700:AG700"/>
    <mergeCell ref="Z641:AE641"/>
    <mergeCell ref="AC623:AE623"/>
    <mergeCell ref="AC624:AE624"/>
    <mergeCell ref="B691:F694"/>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66" workbookViewId="0">
      <selection activeCell="D88" sqref="D88"/>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614" t="s">
        <v>184</v>
      </c>
      <c r="G1" s="1615"/>
      <c r="H1" s="1615"/>
      <c r="I1" s="1615"/>
      <c r="J1" s="1615"/>
      <c r="K1" s="1615"/>
      <c r="L1" s="1615"/>
      <c r="M1" s="1615"/>
      <c r="N1" s="1615"/>
      <c r="O1" s="1615"/>
      <c r="P1" s="1615"/>
      <c r="Q1" s="1615"/>
      <c r="R1" s="1616"/>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2)HCD CDBG DR</v>
      </c>
      <c r="H2" s="233" t="str">
        <f>Application!B623&amp;Application!C623</f>
        <v>3)HCD IIG</v>
      </c>
      <c r="I2" s="233" t="str">
        <f>Application!B624&amp;Application!C624</f>
        <v>4)HCD PLHA</v>
      </c>
      <c r="J2" s="233" t="str">
        <f>Application!B625&amp;Application!C625</f>
        <v>5)Boston Financial Solar Equity</v>
      </c>
      <c r="K2" s="233" t="str">
        <f>Application!B626&amp;Application!C626</f>
        <v>6)Deferred Developer Fee</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650000</v>
      </c>
      <c r="C4" s="241">
        <v>650000</v>
      </c>
      <c r="D4" s="241"/>
      <c r="E4" s="241">
        <f>C4-SUM(F4:K4)</f>
        <v>650000</v>
      </c>
      <c r="F4" s="241"/>
      <c r="G4" s="241"/>
      <c r="H4" s="241"/>
      <c r="I4" s="241"/>
      <c r="J4" s="241"/>
      <c r="K4" s="241"/>
      <c r="L4" s="241"/>
      <c r="M4" s="241"/>
      <c r="N4" s="241"/>
      <c r="O4" s="241"/>
      <c r="P4" s="241"/>
      <c r="Q4" s="241"/>
      <c r="R4" s="241">
        <f>C4</f>
        <v>650000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650000</v>
      </c>
      <c r="C8" s="240">
        <f t="shared" ref="C8:R8" si="0">SUM(C4:C7)</f>
        <v>650000</v>
      </c>
      <c r="D8" s="240">
        <f t="shared" si="0"/>
        <v>0</v>
      </c>
      <c r="E8" s="240">
        <f t="shared" si="0"/>
        <v>650000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650000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650000</v>
      </c>
      <c r="C12" s="240">
        <f t="shared" si="2"/>
        <v>650000</v>
      </c>
      <c r="D12" s="240">
        <f t="shared" si="2"/>
        <v>0</v>
      </c>
      <c r="E12" s="240">
        <f t="shared" si="2"/>
        <v>650000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650000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5208171</v>
      </c>
      <c r="C29" s="241">
        <v>5208171</v>
      </c>
      <c r="D29" s="241"/>
      <c r="E29" s="241">
        <f t="shared" ref="E29:E37" si="7">C29-SUM(F29:K29)</f>
        <v>3042490</v>
      </c>
      <c r="F29" s="241"/>
      <c r="G29" s="241"/>
      <c r="H29" s="241">
        <v>2165681</v>
      </c>
      <c r="I29" s="241"/>
      <c r="J29" s="241"/>
      <c r="K29" s="241"/>
      <c r="L29" s="241"/>
      <c r="M29" s="241"/>
      <c r="N29" s="241"/>
      <c r="O29" s="241"/>
      <c r="P29" s="241"/>
      <c r="Q29" s="241"/>
      <c r="R29" s="241">
        <f t="shared" ref="R29:R37" si="8">SUM(E29:Q29)</f>
        <v>5208171</v>
      </c>
      <c r="S29" s="241">
        <f>+R29</f>
        <v>5208171</v>
      </c>
      <c r="T29" s="241"/>
      <c r="U29" s="237"/>
    </row>
    <row r="30" spans="1:21" s="238" customFormat="1" ht="11.4">
      <c r="A30" s="239" t="s">
        <v>911</v>
      </c>
      <c r="B30" s="240">
        <f t="shared" si="6"/>
        <v>14035489</v>
      </c>
      <c r="C30" s="241">
        <v>14035489</v>
      </c>
      <c r="D30" s="241"/>
      <c r="E30" s="241">
        <f t="shared" si="7"/>
        <v>149073</v>
      </c>
      <c r="F30" s="241">
        <v>4592707</v>
      </c>
      <c r="G30" s="241">
        <v>6230384</v>
      </c>
      <c r="H30" s="241"/>
      <c r="I30" s="241">
        <v>2570805</v>
      </c>
      <c r="J30" s="241">
        <v>492520</v>
      </c>
      <c r="K30" s="241"/>
      <c r="L30" s="241"/>
      <c r="M30" s="241"/>
      <c r="N30" s="241"/>
      <c r="O30" s="241"/>
      <c r="P30" s="241"/>
      <c r="Q30" s="241"/>
      <c r="R30" s="241">
        <f t="shared" si="8"/>
        <v>14035489</v>
      </c>
      <c r="S30" s="241">
        <f t="shared" ref="S30:S36" si="9">+R30</f>
        <v>14035489</v>
      </c>
      <c r="T30" s="241"/>
      <c r="U30" s="237"/>
    </row>
    <row r="31" spans="1:21" s="238" customFormat="1" ht="11.4">
      <c r="A31" s="239" t="s">
        <v>912</v>
      </c>
      <c r="B31" s="240">
        <f t="shared" si="6"/>
        <v>1154620</v>
      </c>
      <c r="C31" s="241">
        <v>1154620</v>
      </c>
      <c r="D31" s="241"/>
      <c r="E31" s="241">
        <f t="shared" si="7"/>
        <v>1154620</v>
      </c>
      <c r="F31" s="241"/>
      <c r="G31" s="241"/>
      <c r="H31" s="241"/>
      <c r="I31" s="241"/>
      <c r="J31" s="241"/>
      <c r="K31" s="241"/>
      <c r="L31" s="241"/>
      <c r="M31" s="241"/>
      <c r="N31" s="241"/>
      <c r="O31" s="241"/>
      <c r="P31" s="241"/>
      <c r="Q31" s="241"/>
      <c r="R31" s="241">
        <f t="shared" si="8"/>
        <v>1154620</v>
      </c>
      <c r="S31" s="241">
        <f t="shared" si="9"/>
        <v>1154620</v>
      </c>
      <c r="T31" s="241"/>
      <c r="U31" s="237"/>
    </row>
    <row r="32" spans="1:21" s="238" customFormat="1" ht="11.4">
      <c r="A32" s="239" t="s">
        <v>913</v>
      </c>
      <c r="B32" s="240">
        <f t="shared" si="6"/>
        <v>407966</v>
      </c>
      <c r="C32" s="241">
        <v>407966</v>
      </c>
      <c r="D32" s="241"/>
      <c r="E32" s="241">
        <f t="shared" si="7"/>
        <v>407966</v>
      </c>
      <c r="F32" s="241"/>
      <c r="G32" s="241"/>
      <c r="H32" s="241"/>
      <c r="I32" s="241"/>
      <c r="J32" s="241"/>
      <c r="K32" s="241"/>
      <c r="L32" s="241"/>
      <c r="M32" s="241"/>
      <c r="N32" s="241"/>
      <c r="O32" s="241"/>
      <c r="P32" s="241"/>
      <c r="Q32" s="241"/>
      <c r="R32" s="241">
        <f t="shared" si="8"/>
        <v>407966</v>
      </c>
      <c r="S32" s="241">
        <f t="shared" si="9"/>
        <v>407966</v>
      </c>
      <c r="T32" s="241"/>
      <c r="U32" s="237"/>
    </row>
    <row r="33" spans="1:21" s="238" customFormat="1" ht="11.4">
      <c r="A33" s="239" t="s">
        <v>914</v>
      </c>
      <c r="B33" s="240">
        <f t="shared" si="6"/>
        <v>1223897</v>
      </c>
      <c r="C33" s="241">
        <v>1223897</v>
      </c>
      <c r="D33" s="241"/>
      <c r="E33" s="241">
        <f t="shared" si="7"/>
        <v>1223897</v>
      </c>
      <c r="F33" s="241"/>
      <c r="G33" s="241"/>
      <c r="H33" s="241"/>
      <c r="I33" s="241"/>
      <c r="J33" s="241"/>
      <c r="K33" s="241"/>
      <c r="L33" s="241"/>
      <c r="M33" s="241"/>
      <c r="N33" s="241"/>
      <c r="O33" s="241"/>
      <c r="P33" s="241"/>
      <c r="Q33" s="241"/>
      <c r="R33" s="241">
        <f t="shared" si="8"/>
        <v>1223897</v>
      </c>
      <c r="S33" s="241">
        <f t="shared" si="9"/>
        <v>1223897</v>
      </c>
      <c r="T33" s="241"/>
      <c r="U33" s="237"/>
    </row>
    <row r="34" spans="1:21" s="238" customFormat="1" ht="11.4">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ht="11.4">
      <c r="A35" s="239" t="s">
        <v>916</v>
      </c>
      <c r="B35" s="240">
        <f t="shared" si="6"/>
        <v>771055</v>
      </c>
      <c r="C35" s="241">
        <v>771055</v>
      </c>
      <c r="D35" s="241"/>
      <c r="E35" s="241">
        <f t="shared" si="7"/>
        <v>771055</v>
      </c>
      <c r="F35" s="241"/>
      <c r="G35" s="241"/>
      <c r="H35" s="241"/>
      <c r="I35" s="241"/>
      <c r="J35" s="241"/>
      <c r="K35" s="241"/>
      <c r="L35" s="241"/>
      <c r="M35" s="241"/>
      <c r="N35" s="241"/>
      <c r="O35" s="241"/>
      <c r="P35" s="241"/>
      <c r="Q35" s="241"/>
      <c r="R35" s="241">
        <f t="shared" si="8"/>
        <v>771055</v>
      </c>
      <c r="S35" s="241">
        <f t="shared" si="9"/>
        <v>771055</v>
      </c>
      <c r="T35" s="241"/>
      <c r="U35" s="237"/>
    </row>
    <row r="36" spans="1:21" s="238" customFormat="1" ht="11.4">
      <c r="A36" s="250" t="s">
        <v>1952</v>
      </c>
      <c r="B36" s="240">
        <f t="shared" si="6"/>
        <v>250000</v>
      </c>
      <c r="C36" s="241">
        <v>250000</v>
      </c>
      <c r="D36" s="241"/>
      <c r="E36" s="241">
        <f t="shared" si="7"/>
        <v>250000</v>
      </c>
      <c r="F36" s="241"/>
      <c r="G36" s="241"/>
      <c r="H36" s="241"/>
      <c r="I36" s="241"/>
      <c r="J36" s="241"/>
      <c r="K36" s="241"/>
      <c r="L36" s="241"/>
      <c r="M36" s="241"/>
      <c r="N36" s="241"/>
      <c r="O36" s="241"/>
      <c r="P36" s="241"/>
      <c r="Q36" s="241"/>
      <c r="R36" s="241">
        <f t="shared" si="8"/>
        <v>250000</v>
      </c>
      <c r="S36" s="241">
        <f t="shared" si="9"/>
        <v>250000</v>
      </c>
      <c r="T36" s="241"/>
      <c r="U36" s="237"/>
    </row>
    <row r="37" spans="1:21" s="238" customFormat="1" ht="11.4">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c r="T37" s="241"/>
      <c r="U37" s="237"/>
    </row>
    <row r="38" spans="1:21" s="238" customFormat="1">
      <c r="A38" s="243" t="s">
        <v>919</v>
      </c>
      <c r="B38" s="240">
        <f t="shared" si="6"/>
        <v>23051198</v>
      </c>
      <c r="C38" s="240">
        <f>SUM(C29:C37)</f>
        <v>23051198</v>
      </c>
      <c r="D38" s="240">
        <f>SUM(D29:D37)</f>
        <v>0</v>
      </c>
      <c r="E38" s="240">
        <f>SUM(E29:E37)</f>
        <v>6999101</v>
      </c>
      <c r="F38" s="240">
        <f t="shared" ref="F38:T38" si="10">SUM(F29:F37)</f>
        <v>4592707</v>
      </c>
      <c r="G38" s="240">
        <f t="shared" si="10"/>
        <v>6230384</v>
      </c>
      <c r="H38" s="240">
        <f t="shared" si="10"/>
        <v>2165681</v>
      </c>
      <c r="I38" s="240">
        <f t="shared" si="10"/>
        <v>2570805</v>
      </c>
      <c r="J38" s="240">
        <f t="shared" si="10"/>
        <v>492520</v>
      </c>
      <c r="K38" s="240">
        <f t="shared" si="10"/>
        <v>0</v>
      </c>
      <c r="L38" s="240">
        <f t="shared" si="10"/>
        <v>0</v>
      </c>
      <c r="M38" s="240">
        <f t="shared" si="10"/>
        <v>0</v>
      </c>
      <c r="N38" s="240">
        <f t="shared" si="10"/>
        <v>0</v>
      </c>
      <c r="O38" s="240">
        <f t="shared" si="10"/>
        <v>0</v>
      </c>
      <c r="P38" s="240">
        <f t="shared" si="10"/>
        <v>0</v>
      </c>
      <c r="Q38" s="240">
        <f t="shared" si="10"/>
        <v>0</v>
      </c>
      <c r="R38" s="240">
        <f t="shared" si="10"/>
        <v>23051198</v>
      </c>
      <c r="S38" s="244">
        <f t="shared" si="10"/>
        <v>23051198</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912925</v>
      </c>
      <c r="C40" s="241">
        <v>912925</v>
      </c>
      <c r="D40" s="241"/>
      <c r="E40" s="241">
        <f t="shared" ref="E40:E41" si="11">C40-SUM(F40:K40)</f>
        <v>912925</v>
      </c>
      <c r="F40" s="241"/>
      <c r="G40" s="241"/>
      <c r="H40" s="241"/>
      <c r="I40" s="241"/>
      <c r="J40" s="241"/>
      <c r="K40" s="241"/>
      <c r="L40" s="241"/>
      <c r="M40" s="241"/>
      <c r="N40" s="241"/>
      <c r="O40" s="241"/>
      <c r="P40" s="241"/>
      <c r="Q40" s="241"/>
      <c r="R40" s="241">
        <f>SUM(E40:Q40)</f>
        <v>912925</v>
      </c>
      <c r="S40" s="241">
        <f>+R40</f>
        <v>912925</v>
      </c>
      <c r="T40" s="241"/>
      <c r="U40" s="237"/>
    </row>
    <row r="41" spans="1:21" s="238" customFormat="1" ht="11.4">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912925</v>
      </c>
      <c r="C42" s="240">
        <f>SUM(C39:C41)</f>
        <v>912925</v>
      </c>
      <c r="D42" s="240">
        <f>SUM(D39:D41)</f>
        <v>0</v>
      </c>
      <c r="E42" s="240">
        <f t="shared" ref="E42:T42" si="12">SUM(E40:E41)</f>
        <v>912925</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912925</v>
      </c>
      <c r="S42" s="244">
        <f t="shared" si="12"/>
        <v>912925</v>
      </c>
      <c r="T42" s="244">
        <f t="shared" si="12"/>
        <v>0</v>
      </c>
      <c r="U42" s="237"/>
    </row>
    <row r="43" spans="1:21" s="238" customFormat="1">
      <c r="A43" s="243" t="s">
        <v>924</v>
      </c>
      <c r="B43" s="240">
        <f>SUM(C43:D43)</f>
        <v>100000</v>
      </c>
      <c r="C43" s="241">
        <v>100000</v>
      </c>
      <c r="D43" s="241"/>
      <c r="E43" s="241">
        <f>C43-SUM(F43:K43)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3">SUM(C45+D45)</f>
        <v>850000</v>
      </c>
      <c r="C45" s="241">
        <v>850000</v>
      </c>
      <c r="D45" s="241"/>
      <c r="E45" s="241">
        <f t="shared" ref="E45:E52" si="14">C45-SUM(F45:K45)</f>
        <v>850000</v>
      </c>
      <c r="F45" s="241"/>
      <c r="G45" s="241"/>
      <c r="H45" s="241"/>
      <c r="I45" s="241"/>
      <c r="J45" s="241"/>
      <c r="K45" s="241"/>
      <c r="L45" s="241"/>
      <c r="M45" s="241"/>
      <c r="N45" s="241"/>
      <c r="O45" s="241"/>
      <c r="P45" s="241"/>
      <c r="Q45" s="241"/>
      <c r="R45" s="241">
        <f t="shared" ref="R45:R52" si="15">SUM(E45:Q45)</f>
        <v>850000</v>
      </c>
      <c r="S45" s="241">
        <f t="shared" ref="S45:S52" si="16">+R45</f>
        <v>850000</v>
      </c>
      <c r="T45" s="241"/>
      <c r="U45" s="237"/>
    </row>
    <row r="46" spans="1:21" s="238" customFormat="1" ht="11.4">
      <c r="A46" s="239" t="s">
        <v>927</v>
      </c>
      <c r="B46" s="240">
        <f t="shared" si="13"/>
        <v>196524</v>
      </c>
      <c r="C46" s="241">
        <v>196524</v>
      </c>
      <c r="D46" s="241"/>
      <c r="E46" s="241">
        <f t="shared" si="14"/>
        <v>196524</v>
      </c>
      <c r="F46" s="241"/>
      <c r="G46" s="241"/>
      <c r="H46" s="241"/>
      <c r="I46" s="241"/>
      <c r="J46" s="241"/>
      <c r="K46" s="241"/>
      <c r="L46" s="241"/>
      <c r="M46" s="241"/>
      <c r="N46" s="241"/>
      <c r="O46" s="241"/>
      <c r="P46" s="241"/>
      <c r="Q46" s="241"/>
      <c r="R46" s="241">
        <f t="shared" si="15"/>
        <v>196524</v>
      </c>
      <c r="S46" s="241">
        <f t="shared" si="16"/>
        <v>196524</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ht="11.4">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ht="11.4">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ht="11.4">
      <c r="A50" s="239" t="s">
        <v>930</v>
      </c>
      <c r="B50" s="240">
        <f t="shared" si="13"/>
        <v>13000</v>
      </c>
      <c r="C50" s="241">
        <v>13000</v>
      </c>
      <c r="D50" s="241"/>
      <c r="E50" s="241">
        <f t="shared" si="14"/>
        <v>13000</v>
      </c>
      <c r="F50" s="241"/>
      <c r="G50" s="241"/>
      <c r="H50" s="241"/>
      <c r="I50" s="241"/>
      <c r="J50" s="241"/>
      <c r="K50" s="241"/>
      <c r="L50" s="241"/>
      <c r="M50" s="241"/>
      <c r="N50" s="241"/>
      <c r="O50" s="241"/>
      <c r="P50" s="241"/>
      <c r="Q50" s="241"/>
      <c r="R50" s="241">
        <f t="shared" si="15"/>
        <v>13000</v>
      </c>
      <c r="S50" s="241">
        <f t="shared" si="16"/>
        <v>13000</v>
      </c>
      <c r="T50" s="241"/>
      <c r="U50" s="237"/>
    </row>
    <row r="51" spans="1:21" s="238" customFormat="1" ht="11.4">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ht="11.4">
      <c r="A52" s="246" t="s">
        <v>2460</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1154524</v>
      </c>
      <c r="C53" s="244">
        <f t="shared" ref="C53:T53" si="17">SUM(C45:C52)</f>
        <v>1154524</v>
      </c>
      <c r="D53" s="244">
        <f t="shared" si="17"/>
        <v>0</v>
      </c>
      <c r="E53" s="244">
        <f t="shared" si="17"/>
        <v>1154524</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1154524</v>
      </c>
      <c r="S53" s="244">
        <f t="shared" si="17"/>
        <v>1154524</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0</v>
      </c>
      <c r="C55" s="241"/>
      <c r="D55" s="241"/>
      <c r="E55" s="241"/>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928</v>
      </c>
      <c r="B56" s="240">
        <f t="shared" si="18"/>
        <v>10000</v>
      </c>
      <c r="C56" s="241">
        <v>10000</v>
      </c>
      <c r="D56" s="241"/>
      <c r="E56" s="241">
        <f t="shared" ref="E56:E57" si="20">C56-SUM(F56:K56)</f>
        <v>10000</v>
      </c>
      <c r="F56" s="241"/>
      <c r="G56" s="241"/>
      <c r="H56" s="241"/>
      <c r="I56" s="241"/>
      <c r="J56" s="241"/>
      <c r="K56" s="241"/>
      <c r="L56" s="241"/>
      <c r="M56" s="241"/>
      <c r="N56" s="241"/>
      <c r="O56" s="241"/>
      <c r="P56" s="241"/>
      <c r="Q56" s="241"/>
      <c r="R56" s="241">
        <f t="shared" si="19"/>
        <v>10000</v>
      </c>
      <c r="S56" s="242"/>
      <c r="T56" s="242"/>
      <c r="U56" s="237"/>
    </row>
    <row r="57" spans="1:21" s="238" customFormat="1" ht="11.4">
      <c r="A57" s="239" t="s">
        <v>932</v>
      </c>
      <c r="B57" s="240">
        <f t="shared" si="18"/>
        <v>5000</v>
      </c>
      <c r="C57" s="241">
        <v>5000</v>
      </c>
      <c r="D57" s="241"/>
      <c r="E57" s="241">
        <f t="shared" si="20"/>
        <v>5000</v>
      </c>
      <c r="F57" s="241"/>
      <c r="G57" s="241"/>
      <c r="H57" s="241"/>
      <c r="I57" s="241"/>
      <c r="J57" s="241"/>
      <c r="K57" s="241"/>
      <c r="L57" s="241"/>
      <c r="M57" s="241"/>
      <c r="N57" s="241"/>
      <c r="O57" s="241"/>
      <c r="P57" s="241"/>
      <c r="Q57" s="241"/>
      <c r="R57" s="241">
        <f t="shared" si="19"/>
        <v>5000</v>
      </c>
      <c r="S57" s="242"/>
      <c r="T57" s="242"/>
      <c r="U57" s="237"/>
    </row>
    <row r="58" spans="1:21" s="238" customFormat="1" ht="11.4">
      <c r="A58" s="239" t="s">
        <v>930</v>
      </c>
      <c r="B58" s="240">
        <f t="shared" si="18"/>
        <v>0</v>
      </c>
      <c r="C58" s="241"/>
      <c r="D58" s="241"/>
      <c r="E58" s="241"/>
      <c r="F58" s="241"/>
      <c r="G58" s="241"/>
      <c r="H58" s="241"/>
      <c r="I58" s="241"/>
      <c r="J58" s="241"/>
      <c r="K58" s="241"/>
      <c r="L58" s="241"/>
      <c r="M58" s="241"/>
      <c r="N58" s="241"/>
      <c r="O58" s="241"/>
      <c r="P58" s="241"/>
      <c r="Q58" s="241"/>
      <c r="R58" s="241">
        <f t="shared" si="19"/>
        <v>0</v>
      </c>
      <c r="S58" s="242"/>
      <c r="T58" s="242"/>
      <c r="U58" s="237"/>
    </row>
    <row r="59" spans="1:21" s="238" customFormat="1" ht="11.4">
      <c r="A59" s="239" t="s">
        <v>931</v>
      </c>
      <c r="B59" s="240">
        <f t="shared" si="18"/>
        <v>0</v>
      </c>
      <c r="C59" s="241"/>
      <c r="D59" s="241"/>
      <c r="E59" s="241"/>
      <c r="F59" s="241"/>
      <c r="G59" s="241"/>
      <c r="H59" s="241"/>
      <c r="I59" s="241"/>
      <c r="J59" s="241"/>
      <c r="K59" s="241"/>
      <c r="L59" s="241"/>
      <c r="M59" s="241"/>
      <c r="N59" s="241"/>
      <c r="O59" s="241"/>
      <c r="P59" s="241"/>
      <c r="Q59" s="241"/>
      <c r="R59" s="241">
        <f t="shared" si="19"/>
        <v>0</v>
      </c>
      <c r="S59" s="242"/>
      <c r="T59" s="242"/>
      <c r="U59" s="237"/>
    </row>
    <row r="60" spans="1:21" s="238" customFormat="1" ht="11.4">
      <c r="A60" s="246" t="s">
        <v>533</v>
      </c>
      <c r="B60" s="240">
        <f t="shared" si="18"/>
        <v>0</v>
      </c>
      <c r="C60" s="241"/>
      <c r="D60" s="241"/>
      <c r="E60" s="241"/>
      <c r="F60" s="241"/>
      <c r="G60" s="241"/>
      <c r="H60" s="241"/>
      <c r="I60" s="241"/>
      <c r="J60" s="241"/>
      <c r="K60" s="241"/>
      <c r="L60" s="241"/>
      <c r="M60" s="241"/>
      <c r="N60" s="241"/>
      <c r="O60" s="241"/>
      <c r="P60" s="241"/>
      <c r="Q60" s="241"/>
      <c r="R60" s="241">
        <f t="shared" si="19"/>
        <v>0</v>
      </c>
      <c r="S60" s="242"/>
      <c r="T60" s="242"/>
      <c r="U60" s="237"/>
    </row>
    <row r="61" spans="1:21" s="238" customFormat="1" ht="13.95"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ht="11.4">
      <c r="A62" s="249" t="s">
        <v>501</v>
      </c>
      <c r="B62" s="240">
        <f>SUM(C62:D62)</f>
        <v>25883647</v>
      </c>
      <c r="C62" s="240">
        <f t="shared" ref="C62:R62" si="22">SUM(C8+C11+C13+C14+C15+C26+C27+C38+C42+C43+C53+C61)</f>
        <v>25883647</v>
      </c>
      <c r="D62" s="240">
        <f t="shared" si="22"/>
        <v>0</v>
      </c>
      <c r="E62" s="240">
        <f t="shared" si="22"/>
        <v>9831550</v>
      </c>
      <c r="F62" s="240">
        <f t="shared" si="22"/>
        <v>4592707</v>
      </c>
      <c r="G62" s="240">
        <f t="shared" si="22"/>
        <v>6230384</v>
      </c>
      <c r="H62" s="240">
        <f t="shared" si="22"/>
        <v>2165681</v>
      </c>
      <c r="I62" s="240">
        <f t="shared" si="22"/>
        <v>2570805</v>
      </c>
      <c r="J62" s="240">
        <f t="shared" si="22"/>
        <v>492520</v>
      </c>
      <c r="K62" s="240">
        <f t="shared" si="22"/>
        <v>0</v>
      </c>
      <c r="L62" s="240">
        <f t="shared" si="22"/>
        <v>0</v>
      </c>
      <c r="M62" s="240">
        <f t="shared" si="22"/>
        <v>0</v>
      </c>
      <c r="N62" s="240">
        <f t="shared" si="22"/>
        <v>0</v>
      </c>
      <c r="O62" s="240">
        <f t="shared" si="22"/>
        <v>0</v>
      </c>
      <c r="P62" s="240">
        <f t="shared" si="22"/>
        <v>0</v>
      </c>
      <c r="Q62" s="240">
        <f t="shared" si="22"/>
        <v>0</v>
      </c>
      <c r="R62" s="240">
        <f t="shared" si="22"/>
        <v>25883647</v>
      </c>
      <c r="S62" s="240">
        <f>SUM(S10+S13+S14+S15+S26+S27+S38+S42+S43+S53)</f>
        <v>25218647</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v>65000</v>
      </c>
      <c r="D64" s="241"/>
      <c r="E64" s="241">
        <f t="shared" ref="E64:E68" si="23">C64-SUM(F64:K64)</f>
        <v>65000</v>
      </c>
      <c r="F64" s="241"/>
      <c r="G64" s="241"/>
      <c r="H64" s="241"/>
      <c r="I64" s="241"/>
      <c r="J64" s="241"/>
      <c r="K64" s="241"/>
      <c r="L64" s="241"/>
      <c r="M64" s="241"/>
      <c r="N64" s="241"/>
      <c r="O64" s="241"/>
      <c r="P64" s="241"/>
      <c r="Q64" s="241"/>
      <c r="R64" s="241">
        <f>SUM(E64:Q64)</f>
        <v>65000</v>
      </c>
      <c r="S64" s="241">
        <f t="shared" ref="S64:S68" si="24">+R64</f>
        <v>65000</v>
      </c>
      <c r="T64" s="241"/>
      <c r="U64" s="237"/>
    </row>
    <row r="65" spans="1:21" s="238" customFormat="1" ht="22.8">
      <c r="A65" s="239" t="s">
        <v>1954</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1.4">
      <c r="A68" s="246" t="s">
        <v>2461</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1957</v>
      </c>
      <c r="B69" s="240">
        <f>SUM(C69:D69)</f>
        <v>115000</v>
      </c>
      <c r="C69" s="240">
        <f>SUM(C63:C68)</f>
        <v>115000</v>
      </c>
      <c r="D69" s="240">
        <f>SUM(D63:D68)</f>
        <v>0</v>
      </c>
      <c r="E69" s="240">
        <f t="shared" ref="E69:T69" si="25">SUM(E64:E68)</f>
        <v>115000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115000</v>
      </c>
      <c r="S69" s="244">
        <f t="shared" si="25"/>
        <v>115000</v>
      </c>
      <c r="T69" s="244">
        <f t="shared" si="25"/>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30000</v>
      </c>
      <c r="C71" s="241">
        <v>30000</v>
      </c>
      <c r="D71" s="241"/>
      <c r="E71" s="241">
        <f t="shared" ref="E71:E75" si="26">C71-SUM(F71:K71)</f>
        <v>30000</v>
      </c>
      <c r="F71" s="241"/>
      <c r="G71" s="241"/>
      <c r="H71" s="241"/>
      <c r="I71" s="241"/>
      <c r="J71" s="241"/>
      <c r="K71" s="241"/>
      <c r="L71" s="241"/>
      <c r="M71" s="241"/>
      <c r="N71" s="241"/>
      <c r="O71" s="241"/>
      <c r="P71" s="241"/>
      <c r="Q71" s="241"/>
      <c r="R71" s="241">
        <f>SUM(E71:Q71)</f>
        <v>30000</v>
      </c>
      <c r="S71" s="242"/>
      <c r="T71" s="242"/>
      <c r="U71" s="237"/>
    </row>
    <row r="72" spans="1:21" s="238" customFormat="1" ht="11.4">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171211</v>
      </c>
      <c r="C74" s="241">
        <v>171211</v>
      </c>
      <c r="D74" s="241"/>
      <c r="E74" s="241">
        <f t="shared" si="26"/>
        <v>171211</v>
      </c>
      <c r="F74" s="241"/>
      <c r="G74" s="241"/>
      <c r="H74" s="241"/>
      <c r="I74" s="241"/>
      <c r="J74" s="241"/>
      <c r="K74" s="241"/>
      <c r="L74" s="241"/>
      <c r="M74" s="241"/>
      <c r="N74" s="241"/>
      <c r="O74" s="241"/>
      <c r="P74" s="241"/>
      <c r="Q74" s="241"/>
      <c r="R74" s="241">
        <f>SUM(E74:Q74)</f>
        <v>171211</v>
      </c>
      <c r="S74" s="242"/>
      <c r="T74" s="242"/>
      <c r="U74" s="237"/>
    </row>
    <row r="75" spans="1:21" s="238" customFormat="1" ht="11.4">
      <c r="A75" s="246" t="s">
        <v>533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201211</v>
      </c>
      <c r="C76" s="240">
        <f t="shared" ref="C76:Q76" si="27">SUM(C71:C75)</f>
        <v>201211</v>
      </c>
      <c r="D76" s="240">
        <f t="shared" si="27"/>
        <v>0</v>
      </c>
      <c r="E76" s="240">
        <f>SUM(E71:E75)</f>
        <v>201211</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201211</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1152560</v>
      </c>
      <c r="C78" s="241">
        <v>1152560</v>
      </c>
      <c r="D78" s="241"/>
      <c r="E78" s="241">
        <f t="shared" ref="E78:E79" si="28">C78-SUM(F78:K78)</f>
        <v>1152560</v>
      </c>
      <c r="F78" s="241"/>
      <c r="G78" s="241"/>
      <c r="H78" s="241"/>
      <c r="I78" s="241"/>
      <c r="J78" s="241"/>
      <c r="K78" s="241"/>
      <c r="L78" s="241"/>
      <c r="M78" s="241"/>
      <c r="N78" s="241"/>
      <c r="O78" s="241"/>
      <c r="P78" s="241"/>
      <c r="Q78" s="241"/>
      <c r="R78" s="241">
        <f>SUM(E78:Q78)</f>
        <v>1152560</v>
      </c>
      <c r="S78" s="241">
        <f>+R78</f>
        <v>1152560</v>
      </c>
      <c r="T78" s="241"/>
      <c r="U78" s="237"/>
    </row>
    <row r="79" spans="1:21" s="238" customFormat="1" ht="11.4">
      <c r="A79" s="239" t="s">
        <v>538</v>
      </c>
      <c r="B79" s="240">
        <f>SUM(C79+D79)</f>
        <v>178112</v>
      </c>
      <c r="C79" s="241">
        <v>178112</v>
      </c>
      <c r="D79" s="241"/>
      <c r="E79" s="241">
        <f t="shared" si="28"/>
        <v>178112</v>
      </c>
      <c r="F79" s="241"/>
      <c r="G79" s="241"/>
      <c r="H79" s="241"/>
      <c r="I79" s="241"/>
      <c r="J79" s="241"/>
      <c r="K79" s="241"/>
      <c r="L79" s="241"/>
      <c r="M79" s="241"/>
      <c r="N79" s="241"/>
      <c r="O79" s="241"/>
      <c r="P79" s="241"/>
      <c r="Q79" s="241"/>
      <c r="R79" s="241">
        <f>SUM(E79:Q79)</f>
        <v>178112</v>
      </c>
      <c r="S79" s="241">
        <f>+R79</f>
        <v>178112</v>
      </c>
      <c r="T79" s="241"/>
      <c r="U79" s="237"/>
    </row>
    <row r="80" spans="1:21" s="238" customFormat="1">
      <c r="A80" s="243" t="s">
        <v>1742</v>
      </c>
      <c r="B80" s="240">
        <f>SUM(C80:D80)</f>
        <v>1330672</v>
      </c>
      <c r="C80" s="666">
        <f>SUM(C78:C79)</f>
        <v>1330672</v>
      </c>
      <c r="D80" s="666">
        <f t="shared" ref="D80:R80" si="29">SUM(D78:D79)</f>
        <v>0</v>
      </c>
      <c r="E80" s="666">
        <f t="shared" si="29"/>
        <v>1330672</v>
      </c>
      <c r="F80" s="666">
        <f t="shared" si="29"/>
        <v>0</v>
      </c>
      <c r="G80" s="666">
        <f t="shared" si="29"/>
        <v>0</v>
      </c>
      <c r="H80" s="666">
        <f t="shared" si="29"/>
        <v>0</v>
      </c>
      <c r="I80" s="666">
        <f t="shared" si="29"/>
        <v>0</v>
      </c>
      <c r="J80" s="666">
        <f t="shared" si="29"/>
        <v>0</v>
      </c>
      <c r="K80" s="666">
        <f t="shared" si="29"/>
        <v>0</v>
      </c>
      <c r="L80" s="666">
        <f t="shared" si="29"/>
        <v>0</v>
      </c>
      <c r="M80" s="666">
        <f t="shared" si="29"/>
        <v>0</v>
      </c>
      <c r="N80" s="666">
        <f t="shared" si="29"/>
        <v>0</v>
      </c>
      <c r="O80" s="666">
        <f t="shared" si="29"/>
        <v>0</v>
      </c>
      <c r="P80" s="666">
        <f t="shared" si="29"/>
        <v>0</v>
      </c>
      <c r="Q80" s="666">
        <f t="shared" si="29"/>
        <v>0</v>
      </c>
      <c r="R80" s="666">
        <f t="shared" si="29"/>
        <v>1330672</v>
      </c>
      <c r="S80" s="666">
        <f>SUM(S78:S79)</f>
        <v>1330672</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89480</v>
      </c>
      <c r="C82" s="241">
        <v>89480</v>
      </c>
      <c r="D82" s="241"/>
      <c r="E82" s="241">
        <f t="shared" ref="E82:E92" si="30">C82-SUM(F82:K82)</f>
        <v>89480</v>
      </c>
      <c r="F82" s="241"/>
      <c r="G82" s="241"/>
      <c r="H82" s="241"/>
      <c r="I82" s="241"/>
      <c r="J82" s="241"/>
      <c r="K82" s="241"/>
      <c r="L82" s="241"/>
      <c r="M82" s="241"/>
      <c r="N82" s="241"/>
      <c r="O82" s="241"/>
      <c r="P82" s="241"/>
      <c r="Q82" s="241"/>
      <c r="R82" s="241">
        <f>SUM(E82:Q82)</f>
        <v>89480</v>
      </c>
      <c r="S82" s="242"/>
      <c r="T82" s="242"/>
      <c r="U82" s="237"/>
    </row>
    <row r="83" spans="1:21" s="238" customFormat="1" ht="11.4">
      <c r="A83" s="239" t="s">
        <v>516</v>
      </c>
      <c r="B83" s="240">
        <f t="shared" ref="B83:B93" si="31">SUM(C83+D83)</f>
        <v>50000</v>
      </c>
      <c r="C83" s="241">
        <v>50000</v>
      </c>
      <c r="D83" s="241"/>
      <c r="E83" s="241">
        <f t="shared" si="30"/>
        <v>50000</v>
      </c>
      <c r="F83" s="241"/>
      <c r="G83" s="241"/>
      <c r="H83" s="241"/>
      <c r="I83" s="241"/>
      <c r="J83" s="241"/>
      <c r="K83" s="241"/>
      <c r="L83" s="241"/>
      <c r="M83" s="241"/>
      <c r="N83" s="241"/>
      <c r="O83" s="241"/>
      <c r="P83" s="241"/>
      <c r="Q83" s="241"/>
      <c r="R83" s="241">
        <f t="shared" ref="R83:R93" si="32">SUM(E83:Q83)</f>
        <v>50000</v>
      </c>
      <c r="S83" s="241">
        <f t="shared" ref="S83:S86" si="33">+R83</f>
        <v>50000</v>
      </c>
      <c r="T83" s="241"/>
      <c r="U83" s="237"/>
    </row>
    <row r="84" spans="1:21" s="238" customFormat="1" ht="11.4">
      <c r="A84" s="239" t="s">
        <v>517</v>
      </c>
      <c r="B84" s="240">
        <f t="shared" si="31"/>
        <v>1042543</v>
      </c>
      <c r="C84" s="241">
        <v>1042543</v>
      </c>
      <c r="D84" s="241"/>
      <c r="E84" s="241">
        <f t="shared" si="30"/>
        <v>1042543</v>
      </c>
      <c r="F84" s="241"/>
      <c r="G84" s="241"/>
      <c r="H84" s="241"/>
      <c r="I84" s="241"/>
      <c r="J84" s="241"/>
      <c r="K84" s="241"/>
      <c r="L84" s="241"/>
      <c r="M84" s="241"/>
      <c r="N84" s="241"/>
      <c r="O84" s="241"/>
      <c r="P84" s="241"/>
      <c r="Q84" s="241"/>
      <c r="R84" s="241">
        <f t="shared" si="32"/>
        <v>1042543</v>
      </c>
      <c r="S84" s="241">
        <f t="shared" si="33"/>
        <v>1042543</v>
      </c>
      <c r="T84" s="241"/>
      <c r="U84" s="237"/>
    </row>
    <row r="85" spans="1:21" s="238" customFormat="1" ht="11.4">
      <c r="A85" s="239" t="s">
        <v>518</v>
      </c>
      <c r="B85" s="240">
        <f t="shared" si="31"/>
        <v>359107</v>
      </c>
      <c r="C85" s="241">
        <f>427473-68366</f>
        <v>359107</v>
      </c>
      <c r="D85" s="241"/>
      <c r="E85" s="241">
        <f t="shared" si="30"/>
        <v>359107</v>
      </c>
      <c r="F85" s="241"/>
      <c r="G85" s="241"/>
      <c r="H85" s="241"/>
      <c r="I85" s="241"/>
      <c r="J85" s="241"/>
      <c r="K85" s="241"/>
      <c r="L85" s="241"/>
      <c r="M85" s="241"/>
      <c r="N85" s="241"/>
      <c r="O85" s="241"/>
      <c r="P85" s="241"/>
      <c r="Q85" s="241"/>
      <c r="R85" s="241">
        <f t="shared" si="32"/>
        <v>359107</v>
      </c>
      <c r="S85" s="241">
        <f t="shared" si="33"/>
        <v>359107</v>
      </c>
      <c r="T85" s="241"/>
      <c r="U85" s="237"/>
    </row>
    <row r="86" spans="1:21" s="238" customFormat="1" ht="11.4">
      <c r="A86" s="239" t="s">
        <v>519</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ht="11.4">
      <c r="A87" s="239" t="s">
        <v>520</v>
      </c>
      <c r="B87" s="240">
        <f t="shared" si="31"/>
        <v>56107</v>
      </c>
      <c r="C87" s="241">
        <v>56107</v>
      </c>
      <c r="D87" s="241"/>
      <c r="E87" s="241">
        <f t="shared" si="30"/>
        <v>56107</v>
      </c>
      <c r="F87" s="241"/>
      <c r="G87" s="241"/>
      <c r="H87" s="241"/>
      <c r="I87" s="241"/>
      <c r="J87" s="241"/>
      <c r="K87" s="241"/>
      <c r="L87" s="241"/>
      <c r="M87" s="241"/>
      <c r="N87" s="241"/>
      <c r="O87" s="241"/>
      <c r="P87" s="241"/>
      <c r="Q87" s="241"/>
      <c r="R87" s="241">
        <f t="shared" si="32"/>
        <v>56107</v>
      </c>
      <c r="S87" s="242"/>
      <c r="T87" s="242"/>
      <c r="U87" s="237"/>
    </row>
    <row r="88" spans="1:21" s="238" customFormat="1" ht="11.4">
      <c r="A88" s="239" t="s">
        <v>521</v>
      </c>
      <c r="B88" s="240">
        <f t="shared" si="31"/>
        <v>100000</v>
      </c>
      <c r="C88" s="241">
        <v>100000</v>
      </c>
      <c r="D88" s="241"/>
      <c r="E88" s="241">
        <f t="shared" si="30"/>
        <v>100000</v>
      </c>
      <c r="F88" s="241"/>
      <c r="G88" s="241"/>
      <c r="H88" s="241"/>
      <c r="I88" s="241"/>
      <c r="J88" s="241"/>
      <c r="K88" s="241"/>
      <c r="L88" s="241"/>
      <c r="M88" s="241"/>
      <c r="N88" s="241"/>
      <c r="O88" s="241"/>
      <c r="P88" s="241"/>
      <c r="Q88" s="241"/>
      <c r="R88" s="241">
        <f t="shared" si="32"/>
        <v>100000</v>
      </c>
      <c r="S88" s="241">
        <f t="shared" ref="S88:S94" si="34">+R88</f>
        <v>100000</v>
      </c>
      <c r="T88" s="241"/>
      <c r="U88" s="237"/>
    </row>
    <row r="89" spans="1:21" s="238" customFormat="1" ht="11.4">
      <c r="A89" s="239" t="s">
        <v>522</v>
      </c>
      <c r="B89" s="240">
        <f t="shared" si="31"/>
        <v>10000</v>
      </c>
      <c r="C89" s="241">
        <v>10000</v>
      </c>
      <c r="D89" s="241"/>
      <c r="E89" s="241">
        <f t="shared" si="30"/>
        <v>10000</v>
      </c>
      <c r="F89" s="241"/>
      <c r="G89" s="241"/>
      <c r="H89" s="241"/>
      <c r="I89" s="241"/>
      <c r="J89" s="241"/>
      <c r="K89" s="241"/>
      <c r="L89" s="241"/>
      <c r="M89" s="241"/>
      <c r="N89" s="241"/>
      <c r="O89" s="241"/>
      <c r="P89" s="241"/>
      <c r="Q89" s="241"/>
      <c r="R89" s="241">
        <f t="shared" si="32"/>
        <v>10000</v>
      </c>
      <c r="S89" s="241">
        <f t="shared" si="34"/>
        <v>10000</v>
      </c>
      <c r="T89" s="241"/>
      <c r="U89" s="237"/>
    </row>
    <row r="90" spans="1:21" s="238" customFormat="1" ht="11.4">
      <c r="A90" s="250" t="s">
        <v>1315</v>
      </c>
      <c r="B90" s="240">
        <f t="shared" si="31"/>
        <v>45000</v>
      </c>
      <c r="C90" s="241">
        <v>45000</v>
      </c>
      <c r="D90" s="241"/>
      <c r="E90" s="241">
        <f t="shared" si="30"/>
        <v>45000</v>
      </c>
      <c r="F90" s="241"/>
      <c r="G90" s="241"/>
      <c r="H90" s="241"/>
      <c r="I90" s="241"/>
      <c r="J90" s="241"/>
      <c r="K90" s="241"/>
      <c r="L90" s="241"/>
      <c r="M90" s="241"/>
      <c r="N90" s="241"/>
      <c r="O90" s="241"/>
      <c r="P90" s="241"/>
      <c r="Q90" s="241"/>
      <c r="R90" s="241">
        <f t="shared" si="32"/>
        <v>45000</v>
      </c>
      <c r="S90" s="241">
        <f t="shared" si="34"/>
        <v>45000</v>
      </c>
      <c r="T90" s="241"/>
      <c r="U90" s="237"/>
    </row>
    <row r="91" spans="1:21" s="238" customFormat="1" ht="11.4">
      <c r="A91" s="250" t="s">
        <v>1740</v>
      </c>
      <c r="B91" s="240">
        <f t="shared" si="31"/>
        <v>7500</v>
      </c>
      <c r="C91" s="241">
        <v>7500</v>
      </c>
      <c r="D91" s="241"/>
      <c r="E91" s="241">
        <f t="shared" si="30"/>
        <v>7500</v>
      </c>
      <c r="F91" s="241"/>
      <c r="G91" s="241"/>
      <c r="H91" s="241"/>
      <c r="I91" s="241"/>
      <c r="J91" s="241"/>
      <c r="K91" s="241"/>
      <c r="L91" s="241"/>
      <c r="M91" s="241"/>
      <c r="N91" s="241"/>
      <c r="O91" s="241"/>
      <c r="P91" s="241"/>
      <c r="Q91" s="241"/>
      <c r="R91" s="241">
        <f t="shared" si="32"/>
        <v>7500</v>
      </c>
      <c r="S91" s="241">
        <f t="shared" si="34"/>
        <v>7500</v>
      </c>
      <c r="T91" s="241"/>
      <c r="U91" s="237"/>
    </row>
    <row r="92" spans="1:21" s="238" customFormat="1" ht="11.4">
      <c r="A92" s="246" t="s">
        <v>2462</v>
      </c>
      <c r="B92" s="240">
        <f t="shared" si="31"/>
        <v>175000</v>
      </c>
      <c r="C92" s="241">
        <v>175000</v>
      </c>
      <c r="D92" s="241"/>
      <c r="E92" s="241">
        <f t="shared" si="30"/>
        <v>175000</v>
      </c>
      <c r="F92" s="241"/>
      <c r="G92" s="241"/>
      <c r="H92" s="241"/>
      <c r="I92" s="241"/>
      <c r="J92" s="241"/>
      <c r="K92" s="241"/>
      <c r="L92" s="241"/>
      <c r="M92" s="241"/>
      <c r="N92" s="241"/>
      <c r="O92" s="241"/>
      <c r="P92" s="241"/>
      <c r="Q92" s="241"/>
      <c r="R92" s="241">
        <f t="shared" si="32"/>
        <v>175000</v>
      </c>
      <c r="S92" s="241">
        <f t="shared" si="34"/>
        <v>175000</v>
      </c>
      <c r="T92" s="241"/>
      <c r="U92" s="237"/>
    </row>
    <row r="93" spans="1:21" s="238" customFormat="1" ht="11.4">
      <c r="A93" s="246" t="s">
        <v>533</v>
      </c>
      <c r="B93" s="240">
        <f t="shared" si="31"/>
        <v>0</v>
      </c>
      <c r="C93" s="241"/>
      <c r="D93" s="241"/>
      <c r="E93" s="241"/>
      <c r="F93" s="241"/>
      <c r="G93" s="241"/>
      <c r="H93" s="241"/>
      <c r="I93" s="241"/>
      <c r="J93" s="241"/>
      <c r="K93" s="241"/>
      <c r="L93" s="241"/>
      <c r="M93" s="241"/>
      <c r="N93" s="241"/>
      <c r="O93" s="241"/>
      <c r="P93" s="241"/>
      <c r="Q93" s="241"/>
      <c r="R93" s="241">
        <f t="shared" si="32"/>
        <v>0</v>
      </c>
      <c r="S93" s="241">
        <f t="shared" si="34"/>
        <v>0</v>
      </c>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f t="shared" si="34"/>
        <v>0</v>
      </c>
      <c r="T94" s="241"/>
      <c r="U94" s="237"/>
    </row>
    <row r="95" spans="1:21" s="238" customFormat="1">
      <c r="A95" s="243" t="s">
        <v>523</v>
      </c>
      <c r="B95" s="240">
        <f>SUM(C95:D95)</f>
        <v>1934737</v>
      </c>
      <c r="C95" s="240">
        <f t="shared" ref="C95:R95" si="35">SUM(C82:C94)</f>
        <v>1934737</v>
      </c>
      <c r="D95" s="240">
        <f t="shared" si="35"/>
        <v>0</v>
      </c>
      <c r="E95" s="240">
        <f t="shared" si="35"/>
        <v>1934737</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1934737</v>
      </c>
      <c r="S95" s="244">
        <f>SUM(S83:S86,S88:S94)</f>
        <v>1789150</v>
      </c>
      <c r="T95" s="240">
        <f>SUM(T83:T86,T88:T94)</f>
        <v>0</v>
      </c>
      <c r="U95" s="237"/>
    </row>
    <row r="96" spans="1:21" s="238" customFormat="1">
      <c r="A96" s="243" t="s">
        <v>524</v>
      </c>
      <c r="B96" s="240">
        <f>SUM(C96:D96)</f>
        <v>29465267</v>
      </c>
      <c r="C96" s="240">
        <f t="shared" ref="C96:R96" si="36">SUM(C62+C69+C76+C80+C95)</f>
        <v>29465267</v>
      </c>
      <c r="D96" s="240">
        <f t="shared" si="36"/>
        <v>0</v>
      </c>
      <c r="E96" s="240">
        <f t="shared" si="36"/>
        <v>13413170</v>
      </c>
      <c r="F96" s="240">
        <f t="shared" si="36"/>
        <v>4592707</v>
      </c>
      <c r="G96" s="240">
        <f t="shared" si="36"/>
        <v>6230384</v>
      </c>
      <c r="H96" s="240">
        <f t="shared" si="36"/>
        <v>2165681</v>
      </c>
      <c r="I96" s="240">
        <f t="shared" si="36"/>
        <v>2570805</v>
      </c>
      <c r="J96" s="240">
        <f t="shared" si="36"/>
        <v>492520</v>
      </c>
      <c r="K96" s="240">
        <f t="shared" si="36"/>
        <v>0</v>
      </c>
      <c r="L96" s="240">
        <f t="shared" si="36"/>
        <v>0</v>
      </c>
      <c r="M96" s="240">
        <f t="shared" si="36"/>
        <v>0</v>
      </c>
      <c r="N96" s="240">
        <f t="shared" si="36"/>
        <v>0</v>
      </c>
      <c r="O96" s="240">
        <f t="shared" si="36"/>
        <v>0</v>
      </c>
      <c r="P96" s="240">
        <f t="shared" si="36"/>
        <v>0</v>
      </c>
      <c r="Q96" s="240">
        <f t="shared" si="36"/>
        <v>0</v>
      </c>
      <c r="R96" s="240">
        <f t="shared" si="36"/>
        <v>29465267</v>
      </c>
      <c r="S96" s="244">
        <f>SUM(+S62+S69+S80+S95)</f>
        <v>28453469</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C98-SUM(F98:K98)</f>
        <v>1405849</v>
      </c>
      <c r="F98" s="241"/>
      <c r="G98" s="241"/>
      <c r="H98" s="241"/>
      <c r="I98" s="241"/>
      <c r="J98" s="241"/>
      <c r="K98" s="241">
        <v>1094151</v>
      </c>
      <c r="L98" s="241"/>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7">SUM(C98:C102)</f>
        <v>2500000</v>
      </c>
      <c r="D103" s="240">
        <f t="shared" si="37"/>
        <v>0</v>
      </c>
      <c r="E103" s="240">
        <f t="shared" si="37"/>
        <v>1405849</v>
      </c>
      <c r="F103" s="240">
        <f t="shared" si="37"/>
        <v>0</v>
      </c>
      <c r="G103" s="240">
        <f t="shared" si="37"/>
        <v>0</v>
      </c>
      <c r="H103" s="240">
        <f t="shared" si="37"/>
        <v>0</v>
      </c>
      <c r="I103" s="240">
        <f t="shared" si="37"/>
        <v>0</v>
      </c>
      <c r="J103" s="240">
        <f t="shared" si="37"/>
        <v>0</v>
      </c>
      <c r="K103" s="240">
        <f t="shared" si="37"/>
        <v>1094151</v>
      </c>
      <c r="L103" s="240">
        <f t="shared" si="37"/>
        <v>0</v>
      </c>
      <c r="M103" s="240">
        <f t="shared" si="37"/>
        <v>0</v>
      </c>
      <c r="N103" s="240">
        <f t="shared" si="37"/>
        <v>0</v>
      </c>
      <c r="O103" s="240">
        <f t="shared" si="37"/>
        <v>0</v>
      </c>
      <c r="P103" s="240">
        <f t="shared" si="37"/>
        <v>0</v>
      </c>
      <c r="Q103" s="240">
        <f t="shared" si="37"/>
        <v>0</v>
      </c>
      <c r="R103" s="240">
        <f t="shared" si="37"/>
        <v>2500000</v>
      </c>
      <c r="S103" s="244">
        <f t="shared" si="37"/>
        <v>2500000</v>
      </c>
      <c r="T103" s="244">
        <f t="shared" si="37"/>
        <v>0</v>
      </c>
      <c r="U103" s="237"/>
    </row>
    <row r="104" spans="1:21" s="238" customFormat="1">
      <c r="A104" s="243" t="s">
        <v>1156</v>
      </c>
      <c r="B104" s="244">
        <f>SUM(C104:D104)</f>
        <v>31965267</v>
      </c>
      <c r="C104" s="244">
        <f t="shared" ref="C104:R104" si="38">SUM(C96+C103)</f>
        <v>31965267</v>
      </c>
      <c r="D104" s="244">
        <f t="shared" si="38"/>
        <v>0</v>
      </c>
      <c r="E104" s="244">
        <f t="shared" si="38"/>
        <v>14819019</v>
      </c>
      <c r="F104" s="244">
        <f t="shared" si="38"/>
        <v>4592707</v>
      </c>
      <c r="G104" s="244">
        <f t="shared" si="38"/>
        <v>6230384</v>
      </c>
      <c r="H104" s="244">
        <f t="shared" si="38"/>
        <v>2165681</v>
      </c>
      <c r="I104" s="244">
        <f t="shared" si="38"/>
        <v>2570805</v>
      </c>
      <c r="J104" s="244">
        <f t="shared" si="38"/>
        <v>492520</v>
      </c>
      <c r="K104" s="244">
        <f t="shared" si="38"/>
        <v>1094151</v>
      </c>
      <c r="L104" s="244">
        <f t="shared" si="38"/>
        <v>0</v>
      </c>
      <c r="M104" s="244">
        <f t="shared" si="38"/>
        <v>0</v>
      </c>
      <c r="N104" s="244">
        <f t="shared" si="38"/>
        <v>0</v>
      </c>
      <c r="O104" s="244">
        <f t="shared" si="38"/>
        <v>0</v>
      </c>
      <c r="P104" s="244">
        <f t="shared" si="38"/>
        <v>0</v>
      </c>
      <c r="Q104" s="244">
        <f t="shared" si="38"/>
        <v>0</v>
      </c>
      <c r="R104" s="240">
        <f t="shared" si="38"/>
        <v>31965267</v>
      </c>
      <c r="S104" s="244">
        <f>S96+S103</f>
        <v>30953469</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30953469</v>
      </c>
      <c r="T106" s="244">
        <f>T104+T105</f>
        <v>0</v>
      </c>
      <c r="U106" s="256"/>
    </row>
    <row r="107" spans="1:21" s="258" customFormat="1">
      <c r="A107" s="257" t="s">
        <v>1107</v>
      </c>
      <c r="B107" s="252"/>
      <c r="C107" s="252"/>
      <c r="D107" s="252"/>
      <c r="E107" s="240">
        <f>Application!AO634</f>
        <v>14819019</v>
      </c>
      <c r="F107" s="240">
        <f>Application!AO621</f>
        <v>4592707</v>
      </c>
      <c r="G107" s="240">
        <f>Application!AO622</f>
        <v>6230384</v>
      </c>
      <c r="H107" s="240">
        <f>Application!AO623</f>
        <v>2165681</v>
      </c>
      <c r="I107" s="240">
        <f>Application!AO624</f>
        <v>2570805</v>
      </c>
      <c r="J107" s="240">
        <f>Application!AO625</f>
        <v>492520</v>
      </c>
      <c r="K107" s="240">
        <f>Application!AO626</f>
        <v>1094151</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618" t="s">
        <v>1291</v>
      </c>
      <c r="E122" s="1618"/>
      <c r="F122" s="1618"/>
      <c r="U122" s="256"/>
    </row>
    <row r="123" spans="1:21" s="253" customFormat="1" ht="11.4">
      <c r="A123" s="253" t="s">
        <v>1292</v>
      </c>
      <c r="B123" s="546"/>
      <c r="D123" s="1610" t="s">
        <v>1316</v>
      </c>
      <c r="E123" s="1606"/>
      <c r="F123" s="1606"/>
      <c r="G123" s="1606"/>
      <c r="H123" s="1606"/>
      <c r="I123" s="1606"/>
      <c r="J123" s="1606"/>
      <c r="K123" s="1606"/>
      <c r="L123" s="1606"/>
      <c r="M123" s="1606"/>
      <c r="N123" s="1606"/>
      <c r="O123" s="1606"/>
      <c r="P123" s="1606"/>
      <c r="Q123" s="1606"/>
      <c r="R123" s="1606"/>
      <c r="S123" s="1606"/>
      <c r="U123" s="256"/>
    </row>
    <row r="124" spans="1:21" s="253" customFormat="1" ht="13.2">
      <c r="A124" s="209" t="s">
        <v>1293</v>
      </c>
      <c r="B124" s="546"/>
      <c r="C124" s="209"/>
      <c r="D124" s="1606"/>
      <c r="E124" s="1606"/>
      <c r="F124" s="1606"/>
      <c r="G124" s="1606"/>
      <c r="H124" s="1606"/>
      <c r="I124" s="1606"/>
      <c r="J124" s="1606"/>
      <c r="K124" s="1606"/>
      <c r="L124" s="1606"/>
      <c r="M124" s="1606"/>
      <c r="N124" s="1606"/>
      <c r="O124" s="1606"/>
      <c r="P124" s="1606"/>
      <c r="Q124" s="1606"/>
      <c r="R124" s="1606"/>
      <c r="S124" s="1606"/>
      <c r="U124" s="256"/>
    </row>
    <row r="125" spans="1:21" s="253" customFormat="1" ht="13.2">
      <c r="A125" s="209" t="s">
        <v>1294</v>
      </c>
      <c r="B125" s="546"/>
      <c r="C125" s="209"/>
      <c r="D125" s="1606"/>
      <c r="E125" s="1606"/>
      <c r="F125" s="1606"/>
      <c r="G125" s="1606"/>
      <c r="H125" s="1606"/>
      <c r="I125" s="1606"/>
      <c r="J125" s="1606"/>
      <c r="K125" s="1606"/>
      <c r="L125" s="1606"/>
      <c r="M125" s="1606"/>
      <c r="N125" s="1606"/>
      <c r="O125" s="1606"/>
      <c r="P125" s="1606"/>
      <c r="Q125" s="1606"/>
      <c r="R125" s="1606"/>
      <c r="S125" s="1606"/>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613"/>
      <c r="E128" s="1613"/>
      <c r="F128" s="1613"/>
      <c r="G128" s="1613"/>
      <c r="H128" s="1613"/>
      <c r="I128" s="209"/>
      <c r="J128" s="1609"/>
      <c r="K128" s="1609"/>
      <c r="L128" s="209"/>
      <c r="M128" s="209"/>
      <c r="N128" s="209"/>
      <c r="O128" s="209"/>
      <c r="P128" s="209"/>
      <c r="Q128" s="209"/>
      <c r="R128" s="209"/>
      <c r="S128" s="209"/>
      <c r="U128" s="256"/>
    </row>
    <row r="129" spans="1:21" s="253" customFormat="1" ht="13.2">
      <c r="A129" s="209" t="s">
        <v>499</v>
      </c>
      <c r="B129" s="546"/>
      <c r="C129" s="209"/>
      <c r="D129" s="1617" t="s">
        <v>1298</v>
      </c>
      <c r="E129" s="1617"/>
      <c r="F129" s="1617"/>
      <c r="G129" s="1617"/>
      <c r="H129" s="1617"/>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495"/>
      <c r="E131" s="1495"/>
      <c r="F131" s="1495"/>
      <c r="G131" s="1495"/>
      <c r="H131" s="1495"/>
      <c r="I131" s="209"/>
      <c r="J131" s="1495"/>
      <c r="K131" s="1495"/>
      <c r="L131" s="1495"/>
      <c r="M131" s="1495"/>
      <c r="N131" s="209"/>
      <c r="O131" s="209"/>
      <c r="P131" s="209"/>
      <c r="Q131" s="209"/>
      <c r="R131" s="209"/>
      <c r="S131" s="209"/>
      <c r="U131" s="256"/>
    </row>
    <row r="132" spans="1:21" s="253" customFormat="1" ht="13.2">
      <c r="A132" s="548"/>
      <c r="B132" s="209"/>
      <c r="C132" s="209"/>
      <c r="D132" s="1611" t="s">
        <v>1301</v>
      </c>
      <c r="E132" s="1611"/>
      <c r="F132" s="1611"/>
      <c r="G132" s="1611"/>
      <c r="H132" s="1611"/>
      <c r="I132" s="209"/>
      <c r="J132" s="1611" t="s">
        <v>1302</v>
      </c>
      <c r="K132" s="1611"/>
      <c r="L132" s="1611"/>
      <c r="M132" s="1611"/>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612"/>
      <c r="B138" s="1613"/>
      <c r="C138" s="1613"/>
      <c r="D138" s="352"/>
      <c r="E138" s="1609"/>
      <c r="F138" s="1609"/>
      <c r="G138" s="209"/>
      <c r="H138" s="209"/>
      <c r="I138" s="209"/>
      <c r="J138" s="209"/>
      <c r="K138" s="209"/>
      <c r="L138" s="209"/>
      <c r="M138" s="209"/>
      <c r="N138" s="209"/>
      <c r="O138" s="209"/>
      <c r="P138" s="209"/>
      <c r="Q138" s="209"/>
      <c r="R138" s="209"/>
      <c r="S138" s="209"/>
    </row>
    <row r="139" spans="1:21" ht="12" customHeight="1">
      <c r="A139" s="1608" t="s">
        <v>1304</v>
      </c>
      <c r="B139" s="1608"/>
      <c r="C139" s="160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4" workbookViewId="0">
      <selection activeCell="T26" sqref="T26:X26"/>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52" t="s">
        <v>1746</v>
      </c>
      <c r="B1" s="1653"/>
      <c r="C1" s="1653"/>
      <c r="D1" s="1653"/>
      <c r="E1" s="1653"/>
      <c r="F1" s="1653"/>
      <c r="G1" s="1653"/>
      <c r="H1" s="1653"/>
      <c r="I1" s="1653"/>
      <c r="J1" s="1653"/>
      <c r="K1" s="1653"/>
      <c r="L1" s="1653"/>
      <c r="M1" s="1653"/>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c r="AL1" s="1653"/>
      <c r="AM1" s="1653"/>
      <c r="AN1" s="1653"/>
    </row>
    <row r="2" spans="1:40" ht="12.9" customHeight="1" thickBot="1">
      <c r="A2" s="1654"/>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38" t="str">
        <f>IF(T25=100%,'Sources and Basis Breakdown'!G2,'Sources and Basis Breakdown'!F2)</f>
        <v>70% PVC for New Const/
Rehabilitation
DDA/QCT
Building(s)</v>
      </c>
      <c r="U7" s="1638"/>
      <c r="V7" s="1638"/>
      <c r="W7" s="1638"/>
      <c r="X7" s="1638"/>
      <c r="Y7" s="1638" t="str">
        <f>IF(T25=100%,"",'Sources and Basis Breakdown'!G2)</f>
        <v>70% PVC for New Const/
Rehabilitation
NON-DDA/
NON-QCT Building(s)</v>
      </c>
      <c r="Z7" s="1638"/>
      <c r="AA7" s="1638"/>
      <c r="AB7" s="1638"/>
      <c r="AC7" s="1638"/>
      <c r="AD7" s="1638" t="str">
        <f>IF(T25=100%,'Sources and Basis Breakdown'!J2,'Sources and Basis Breakdown'!I2)</f>
        <v>30% PVC for Acquisition
DDA/QCT Building(s)</v>
      </c>
      <c r="AE7" s="1638"/>
      <c r="AF7" s="1638"/>
      <c r="AG7" s="1638"/>
      <c r="AH7" s="1638"/>
      <c r="AI7" s="1638" t="str">
        <f>IF(T25=100%,"",'Sources and Basis Breakdown'!J2)</f>
        <v>30% PVC for Acquisition
NON-DDA/
NON-QCT Building(s)</v>
      </c>
      <c r="AJ7" s="1638"/>
      <c r="AK7" s="1638"/>
      <c r="AL7" s="1638"/>
      <c r="AM7" s="1638"/>
    </row>
    <row r="8" spans="1:40" ht="12.9" customHeight="1">
      <c r="B8" s="204"/>
      <c r="T8" s="1638"/>
      <c r="U8" s="1638"/>
      <c r="V8" s="1638"/>
      <c r="W8" s="1638"/>
      <c r="X8" s="1638"/>
      <c r="Y8" s="1638"/>
      <c r="Z8" s="1638"/>
      <c r="AA8" s="1638"/>
      <c r="AB8" s="1638"/>
      <c r="AC8" s="1638"/>
      <c r="AD8" s="1638"/>
      <c r="AE8" s="1638"/>
      <c r="AF8" s="1638"/>
      <c r="AG8" s="1638"/>
      <c r="AH8" s="1638"/>
      <c r="AI8" s="1638"/>
      <c r="AJ8" s="1638"/>
      <c r="AK8" s="1638"/>
      <c r="AL8" s="1638"/>
      <c r="AM8" s="1638"/>
    </row>
    <row r="9" spans="1:40" ht="12.9" customHeight="1">
      <c r="B9" s="204"/>
      <c r="T9" s="1638"/>
      <c r="U9" s="1638"/>
      <c r="V9" s="1638"/>
      <c r="W9" s="1638"/>
      <c r="X9" s="1638"/>
      <c r="Y9" s="1638"/>
      <c r="Z9" s="1638"/>
      <c r="AA9" s="1638"/>
      <c r="AB9" s="1638"/>
      <c r="AC9" s="1638"/>
      <c r="AD9" s="1638"/>
      <c r="AE9" s="1638"/>
      <c r="AF9" s="1638"/>
      <c r="AG9" s="1638"/>
      <c r="AH9" s="1638"/>
      <c r="AI9" s="1638"/>
      <c r="AJ9" s="1638"/>
      <c r="AK9" s="1638"/>
      <c r="AL9" s="1638"/>
      <c r="AM9" s="1638"/>
    </row>
    <row r="10" spans="1:40" ht="12.9" customHeight="1">
      <c r="B10" s="53"/>
      <c r="C10" s="54"/>
      <c r="D10" s="54"/>
      <c r="E10" s="54"/>
      <c r="F10" s="54"/>
      <c r="G10" s="54"/>
      <c r="H10" s="54"/>
      <c r="I10" s="54"/>
      <c r="J10" s="54"/>
      <c r="K10" s="54"/>
      <c r="L10" s="54"/>
      <c r="M10" s="54"/>
      <c r="N10" s="54"/>
      <c r="O10" s="54"/>
      <c r="P10" s="54"/>
      <c r="Q10" s="54"/>
      <c r="R10" s="54"/>
      <c r="S10" s="54"/>
      <c r="T10" s="1638"/>
      <c r="U10" s="1638"/>
      <c r="V10" s="1638"/>
      <c r="W10" s="1638"/>
      <c r="X10" s="1638"/>
      <c r="Y10" s="1638"/>
      <c r="Z10" s="1638"/>
      <c r="AA10" s="1638"/>
      <c r="AB10" s="1638"/>
      <c r="AC10" s="1638"/>
      <c r="AD10" s="1638"/>
      <c r="AE10" s="1638"/>
      <c r="AF10" s="1638"/>
      <c r="AG10" s="1638"/>
      <c r="AH10" s="1638"/>
      <c r="AI10" s="1638"/>
      <c r="AJ10" s="1638"/>
      <c r="AK10" s="1638"/>
      <c r="AL10" s="1638"/>
      <c r="AM10" s="1638"/>
    </row>
    <row r="11" spans="1:40" ht="12.9" customHeight="1">
      <c r="B11" s="1061" t="s">
        <v>508</v>
      </c>
      <c r="C11" s="1062"/>
      <c r="D11" s="1062"/>
      <c r="E11" s="1062"/>
      <c r="F11" s="1062"/>
      <c r="G11" s="1062"/>
      <c r="H11" s="1062"/>
      <c r="I11" s="1062"/>
      <c r="J11" s="1062"/>
      <c r="K11" s="1062"/>
      <c r="L11" s="1062"/>
      <c r="M11" s="1062"/>
      <c r="N11" s="1062"/>
      <c r="O11" s="1062"/>
      <c r="P11" s="1062"/>
      <c r="Q11" s="1062"/>
      <c r="R11" s="1062"/>
      <c r="S11" s="1063"/>
      <c r="T11" s="1646">
        <f>IF('Sources and Basis Breakdown'!F105=0,'Sources and Basis Breakdown'!E105,'Sources and Basis Breakdown'!F105)</f>
        <v>30953469</v>
      </c>
      <c r="U11" s="1639"/>
      <c r="V11" s="1639"/>
      <c r="W11" s="1639"/>
      <c r="X11" s="1639"/>
      <c r="Y11" s="1655">
        <f>IF(Y7="",0,IF('Sources and Basis Breakdown'!G105+'Sources and Basis Breakdown'!F105='Sources and Basis Breakdown'!E105,'Sources and Basis Breakdown'!G105,0))</f>
        <v>0</v>
      </c>
      <c r="Z11" s="1639"/>
      <c r="AA11" s="1639"/>
      <c r="AB11" s="1639"/>
      <c r="AC11" s="1639"/>
      <c r="AD11" s="1639">
        <f>IF('Sources and Basis Breakdown'!I105=0,'Sources and Basis Breakdown'!H105,'Sources and Basis Breakdown'!I105)</f>
        <v>0</v>
      </c>
      <c r="AE11" s="1639"/>
      <c r="AF11" s="1639"/>
      <c r="AG11" s="1639"/>
      <c r="AH11" s="1639"/>
      <c r="AI11" s="1639">
        <f>IF(AI7="",0,IF('Sources and Basis Breakdown'!I105+'Sources and Basis Breakdown'!J105='Sources and Basis Breakdown'!H105,'Sources and Basis Breakdown'!J105,0))</f>
        <v>0</v>
      </c>
      <c r="AJ11" s="1639"/>
      <c r="AK11" s="1639"/>
      <c r="AL11" s="1639"/>
      <c r="AM11" s="1639"/>
    </row>
    <row r="12" spans="1:40" ht="12.9" customHeight="1">
      <c r="B12" s="1640" t="s">
        <v>447</v>
      </c>
      <c r="C12" s="1031"/>
      <c r="D12" s="1031"/>
      <c r="E12" s="1031"/>
      <c r="F12" s="1031"/>
      <c r="G12" s="1031"/>
      <c r="H12" s="1031"/>
      <c r="I12" s="1031"/>
      <c r="J12" s="1031"/>
      <c r="K12" s="1031"/>
      <c r="L12" s="1031"/>
      <c r="M12" s="1031"/>
      <c r="N12" s="1031"/>
      <c r="O12" s="1031"/>
      <c r="P12" s="1031"/>
      <c r="Q12" s="1031"/>
      <c r="R12" s="1031"/>
      <c r="S12" s="1641"/>
      <c r="T12" s="1649"/>
      <c r="U12" s="1650"/>
      <c r="V12" s="1650"/>
      <c r="W12" s="1650"/>
      <c r="X12" s="1651"/>
      <c r="Y12" s="1649"/>
      <c r="Z12" s="1650"/>
      <c r="AA12" s="1650"/>
      <c r="AB12" s="1650"/>
      <c r="AC12" s="1651"/>
      <c r="AD12" s="1649"/>
      <c r="AE12" s="1650"/>
      <c r="AF12" s="1650"/>
      <c r="AG12" s="1650"/>
      <c r="AH12" s="1651"/>
      <c r="AI12" s="1649"/>
      <c r="AJ12" s="1650"/>
      <c r="AK12" s="1650"/>
      <c r="AL12" s="1650"/>
      <c r="AM12" s="1651"/>
    </row>
    <row r="13" spans="1:40" ht="12.9" customHeight="1">
      <c r="B13" s="8"/>
      <c r="C13" s="1642" t="s">
        <v>1712</v>
      </c>
      <c r="D13" s="1643"/>
      <c r="E13" s="1643"/>
      <c r="F13" s="1643"/>
      <c r="G13" s="1643"/>
      <c r="H13" s="1643"/>
      <c r="I13" s="1643"/>
      <c r="J13" s="1643"/>
      <c r="K13" s="1643"/>
      <c r="L13" s="1643"/>
      <c r="M13" s="1643"/>
      <c r="N13" s="1643"/>
      <c r="O13" s="1643"/>
      <c r="P13" s="1643"/>
      <c r="Q13" s="1643"/>
      <c r="R13" s="1643"/>
      <c r="S13" s="1644"/>
      <c r="T13" s="1647"/>
      <c r="U13" s="1648"/>
      <c r="V13" s="1648"/>
      <c r="W13" s="1648"/>
      <c r="X13" s="1648"/>
      <c r="Y13" s="1647"/>
      <c r="Z13" s="1648"/>
      <c r="AA13" s="1648"/>
      <c r="AB13" s="1648"/>
      <c r="AC13" s="1648"/>
      <c r="AD13" s="1648"/>
      <c r="AE13" s="1648"/>
      <c r="AF13" s="1648"/>
      <c r="AG13" s="1648"/>
      <c r="AH13" s="1648"/>
      <c r="AI13" s="1648"/>
      <c r="AJ13" s="1648"/>
      <c r="AK13" s="1648"/>
      <c r="AL13" s="1648"/>
      <c r="AM13" s="1648"/>
    </row>
    <row r="14" spans="1:40" ht="12.9" customHeight="1">
      <c r="B14" s="8"/>
      <c r="C14" s="1643" t="s">
        <v>768</v>
      </c>
      <c r="D14" s="1643"/>
      <c r="E14" s="1643"/>
      <c r="F14" s="1643"/>
      <c r="G14" s="1643"/>
      <c r="H14" s="1643"/>
      <c r="I14" s="1643"/>
      <c r="J14" s="1643"/>
      <c r="K14" s="1643"/>
      <c r="L14" s="1643"/>
      <c r="M14" s="1643"/>
      <c r="N14" s="1643"/>
      <c r="O14" s="1643"/>
      <c r="P14" s="1643"/>
      <c r="Q14" s="1643"/>
      <c r="R14" s="1643"/>
      <c r="S14" s="1644"/>
      <c r="T14" s="1086"/>
      <c r="U14" s="1258"/>
      <c r="V14" s="1258"/>
      <c r="W14" s="1258"/>
      <c r="X14" s="1258"/>
      <c r="Y14" s="1086"/>
      <c r="Z14" s="1258"/>
      <c r="AA14" s="1258"/>
      <c r="AB14" s="1258"/>
      <c r="AC14" s="1258"/>
      <c r="AD14" s="1258"/>
      <c r="AE14" s="1258"/>
      <c r="AF14" s="1258"/>
      <c r="AG14" s="1258"/>
      <c r="AH14" s="1258"/>
      <c r="AI14" s="1258"/>
      <c r="AJ14" s="1258"/>
      <c r="AK14" s="1258"/>
      <c r="AL14" s="1258"/>
      <c r="AM14" s="1258"/>
    </row>
    <row r="15" spans="1:40" ht="12.9" customHeight="1">
      <c r="B15" s="8"/>
      <c r="C15" s="1643" t="s">
        <v>769</v>
      </c>
      <c r="D15" s="1643"/>
      <c r="E15" s="1643"/>
      <c r="F15" s="1643"/>
      <c r="G15" s="1643"/>
      <c r="H15" s="1643"/>
      <c r="I15" s="1643"/>
      <c r="J15" s="1643"/>
      <c r="K15" s="1643"/>
      <c r="L15" s="1643"/>
      <c r="M15" s="1643"/>
      <c r="N15" s="1643"/>
      <c r="O15" s="1643"/>
      <c r="P15" s="1643"/>
      <c r="Q15" s="1643"/>
      <c r="R15" s="1643"/>
      <c r="S15" s="1644"/>
      <c r="T15" s="1086"/>
      <c r="U15" s="1258"/>
      <c r="V15" s="1258"/>
      <c r="W15" s="1258"/>
      <c r="X15" s="1258"/>
      <c r="Y15" s="1086"/>
      <c r="Z15" s="1258"/>
      <c r="AA15" s="1258"/>
      <c r="AB15" s="1258"/>
      <c r="AC15" s="1258"/>
      <c r="AD15" s="1258"/>
      <c r="AE15" s="1258"/>
      <c r="AF15" s="1258"/>
      <c r="AG15" s="1258"/>
      <c r="AH15" s="1258"/>
      <c r="AI15" s="1258"/>
      <c r="AJ15" s="1258"/>
      <c r="AK15" s="1258"/>
      <c r="AL15" s="1258"/>
      <c r="AM15" s="1258"/>
    </row>
    <row r="16" spans="1:40" ht="12.9" customHeight="1">
      <c r="B16" s="8"/>
      <c r="C16" s="1642" t="s">
        <v>1012</v>
      </c>
      <c r="D16" s="1642"/>
      <c r="E16" s="1642"/>
      <c r="F16" s="1642"/>
      <c r="G16" s="1642"/>
      <c r="H16" s="1642"/>
      <c r="I16" s="1642"/>
      <c r="J16" s="1642"/>
      <c r="K16" s="1642"/>
      <c r="L16" s="1642"/>
      <c r="M16" s="1642"/>
      <c r="N16" s="1642"/>
      <c r="O16" s="1642"/>
      <c r="P16" s="1642"/>
      <c r="Q16" s="1642"/>
      <c r="R16" s="1642"/>
      <c r="S16" s="1645"/>
      <c r="T16" s="1086"/>
      <c r="U16" s="1258"/>
      <c r="V16" s="1258"/>
      <c r="W16" s="1258"/>
      <c r="X16" s="1258"/>
      <c r="Y16" s="1086"/>
      <c r="Z16" s="1258"/>
      <c r="AA16" s="1258"/>
      <c r="AB16" s="1258"/>
      <c r="AC16" s="1258"/>
      <c r="AD16" s="1258"/>
      <c r="AE16" s="1258"/>
      <c r="AF16" s="1258"/>
      <c r="AG16" s="1258"/>
      <c r="AH16" s="1258"/>
      <c r="AI16" s="1258"/>
      <c r="AJ16" s="1258"/>
      <c r="AK16" s="1258"/>
      <c r="AL16" s="1258"/>
      <c r="AM16" s="1258"/>
    </row>
    <row r="17" spans="1:39" ht="12.9" customHeight="1">
      <c r="B17" s="8"/>
      <c r="C17" s="1643" t="s">
        <v>770</v>
      </c>
      <c r="D17" s="1643"/>
      <c r="E17" s="1643"/>
      <c r="F17" s="1643"/>
      <c r="G17" s="1643"/>
      <c r="H17" s="1643"/>
      <c r="I17" s="1643"/>
      <c r="J17" s="1643"/>
      <c r="K17" s="1643"/>
      <c r="L17" s="1643"/>
      <c r="M17" s="1643"/>
      <c r="N17" s="1643"/>
      <c r="O17" s="1643"/>
      <c r="P17" s="1643"/>
      <c r="Q17" s="1643"/>
      <c r="R17" s="1643"/>
      <c r="S17" s="1644"/>
      <c r="T17" s="1086"/>
      <c r="U17" s="1258"/>
      <c r="V17" s="1258"/>
      <c r="W17" s="1258"/>
      <c r="X17" s="1258"/>
      <c r="Y17" s="1086"/>
      <c r="Z17" s="1258"/>
      <c r="AA17" s="1258"/>
      <c r="AB17" s="1258"/>
      <c r="AC17" s="1258"/>
      <c r="AD17" s="1258"/>
      <c r="AE17" s="1258"/>
      <c r="AF17" s="1258"/>
      <c r="AG17" s="1258"/>
      <c r="AH17" s="1258"/>
      <c r="AI17" s="1258"/>
      <c r="AJ17" s="1258"/>
      <c r="AK17" s="1258"/>
      <c r="AL17" s="1258"/>
      <c r="AM17" s="1258"/>
    </row>
    <row r="18" spans="1:39" ht="12.9" customHeight="1">
      <c r="B18" s="941"/>
      <c r="C18" s="1619" t="s">
        <v>1217</v>
      </c>
      <c r="D18" s="1619"/>
      <c r="E18" s="1619"/>
      <c r="F18" s="1619"/>
      <c r="G18" s="1619"/>
      <c r="H18" s="1619"/>
      <c r="I18" s="1619"/>
      <c r="J18" s="1619"/>
      <c r="K18" s="1619"/>
      <c r="L18" s="1619"/>
      <c r="M18" s="1619"/>
      <c r="N18" s="1619"/>
      <c r="O18" s="1619"/>
      <c r="P18" s="1619"/>
      <c r="Q18" s="1619"/>
      <c r="R18" s="1619"/>
      <c r="S18" s="1620"/>
      <c r="T18" s="1084"/>
      <c r="U18" s="1085"/>
      <c r="V18" s="1085"/>
      <c r="W18" s="1085"/>
      <c r="X18" s="1086"/>
      <c r="Y18" s="1086"/>
      <c r="Z18" s="1258"/>
      <c r="AA18" s="1258"/>
      <c r="AB18" s="1258"/>
      <c r="AC18" s="1258"/>
      <c r="AD18" s="1258"/>
      <c r="AE18" s="1258"/>
      <c r="AF18" s="1258"/>
      <c r="AG18" s="1258"/>
      <c r="AH18" s="1258"/>
      <c r="AI18" s="1258"/>
      <c r="AJ18" s="1258"/>
      <c r="AK18" s="1258"/>
      <c r="AL18" s="1258"/>
      <c r="AM18" s="1258"/>
    </row>
    <row r="19" spans="1:39" ht="12.9" customHeight="1">
      <c r="B19" s="484"/>
      <c r="C19" s="1619" t="s">
        <v>1217</v>
      </c>
      <c r="D19" s="1619"/>
      <c r="E19" s="1619"/>
      <c r="F19" s="1619"/>
      <c r="G19" s="1619"/>
      <c r="H19" s="1619"/>
      <c r="I19" s="1619"/>
      <c r="J19" s="1619"/>
      <c r="K19" s="1619"/>
      <c r="L19" s="1619"/>
      <c r="M19" s="1619"/>
      <c r="N19" s="1619"/>
      <c r="O19" s="1619"/>
      <c r="P19" s="1619"/>
      <c r="Q19" s="1619"/>
      <c r="R19" s="1619"/>
      <c r="S19" s="1620"/>
      <c r="T19" s="1086"/>
      <c r="U19" s="1258"/>
      <c r="V19" s="1258"/>
      <c r="W19" s="1258"/>
      <c r="X19" s="1258"/>
      <c r="Y19" s="1086"/>
      <c r="Z19" s="1258"/>
      <c r="AA19" s="1258"/>
      <c r="AB19" s="1258"/>
      <c r="AC19" s="1258"/>
      <c r="AD19" s="1258"/>
      <c r="AE19" s="1258"/>
      <c r="AF19" s="1258"/>
      <c r="AG19" s="1258"/>
      <c r="AH19" s="1258"/>
      <c r="AI19" s="1258"/>
      <c r="AJ19" s="1258"/>
      <c r="AK19" s="1258"/>
      <c r="AL19" s="1258"/>
      <c r="AM19" s="1258"/>
    </row>
    <row r="20" spans="1:39" ht="12.9" customHeight="1">
      <c r="B20" s="1061" t="s">
        <v>771</v>
      </c>
      <c r="C20" s="1062"/>
      <c r="D20" s="1062"/>
      <c r="E20" s="1062"/>
      <c r="F20" s="1062"/>
      <c r="G20" s="1062"/>
      <c r="H20" s="1062"/>
      <c r="I20" s="1062"/>
      <c r="J20" s="1062"/>
      <c r="K20" s="1062"/>
      <c r="L20" s="1062"/>
      <c r="M20" s="1062"/>
      <c r="N20" s="1062"/>
      <c r="O20" s="1062"/>
      <c r="P20" s="1062"/>
      <c r="Q20" s="1062"/>
      <c r="R20" s="1062"/>
      <c r="S20" s="1063"/>
      <c r="T20" s="1631">
        <f>SUM(T13:X19)</f>
        <v>0</v>
      </c>
      <c r="U20" s="1273"/>
      <c r="V20" s="1273"/>
      <c r="W20" s="1273"/>
      <c r="X20" s="1273"/>
      <c r="Y20" s="1631">
        <f>SUM(Y13:AC19)</f>
        <v>0</v>
      </c>
      <c r="Z20" s="1273"/>
      <c r="AA20" s="1273"/>
      <c r="AB20" s="1273"/>
      <c r="AC20" s="1273"/>
      <c r="AD20" s="1273">
        <f>SUM(AD13:AH19)</f>
        <v>0</v>
      </c>
      <c r="AE20" s="1273"/>
      <c r="AF20" s="1273"/>
      <c r="AG20" s="1273"/>
      <c r="AH20" s="1273"/>
      <c r="AI20" s="1273">
        <f>SUM(AI13:AM19)</f>
        <v>0</v>
      </c>
      <c r="AJ20" s="1273"/>
      <c r="AK20" s="1273"/>
      <c r="AL20" s="1273"/>
      <c r="AM20" s="1273"/>
    </row>
    <row r="21" spans="1:39" ht="12.9" customHeight="1">
      <c r="B21" s="1061" t="s">
        <v>1711</v>
      </c>
      <c r="C21" s="1062"/>
      <c r="D21" s="1062"/>
      <c r="E21" s="1062"/>
      <c r="F21" s="1062"/>
      <c r="G21" s="1062"/>
      <c r="H21" s="1062"/>
      <c r="I21" s="1062"/>
      <c r="J21" s="1062"/>
      <c r="K21" s="1062"/>
      <c r="L21" s="1062"/>
      <c r="M21" s="1062"/>
      <c r="N21" s="1062"/>
      <c r="O21" s="1062"/>
      <c r="P21" s="1062"/>
      <c r="Q21" s="1062"/>
      <c r="R21" s="1062"/>
      <c r="S21" s="1063"/>
      <c r="T21" s="1086">
        <v>16310891</v>
      </c>
      <c r="U21" s="1258"/>
      <c r="V21" s="1258"/>
      <c r="W21" s="1258"/>
      <c r="X21" s="1258"/>
      <c r="Y21" s="1086"/>
      <c r="Z21" s="1258"/>
      <c r="AA21" s="1258"/>
      <c r="AB21" s="1258"/>
      <c r="AC21" s="1258"/>
      <c r="AD21" s="1086"/>
      <c r="AE21" s="1258"/>
      <c r="AF21" s="1258"/>
      <c r="AG21" s="1258"/>
      <c r="AH21" s="1258"/>
      <c r="AI21" s="1086"/>
      <c r="AJ21" s="1258"/>
      <c r="AK21" s="1258"/>
      <c r="AL21" s="1258"/>
      <c r="AM21" s="1258"/>
    </row>
    <row r="22" spans="1:39" ht="12.9" customHeight="1">
      <c r="B22" s="1061" t="s">
        <v>772</v>
      </c>
      <c r="C22" s="1062"/>
      <c r="D22" s="1062"/>
      <c r="E22" s="1062"/>
      <c r="F22" s="1062"/>
      <c r="G22" s="1062"/>
      <c r="H22" s="1062"/>
      <c r="I22" s="1062"/>
      <c r="J22" s="1062"/>
      <c r="K22" s="1062"/>
      <c r="L22" s="1062"/>
      <c r="M22" s="1062"/>
      <c r="N22" s="1062"/>
      <c r="O22" s="1062"/>
      <c r="P22" s="1062"/>
      <c r="Q22" s="1062"/>
      <c r="R22" s="1062"/>
      <c r="S22" s="1063"/>
      <c r="T22" s="1632">
        <f>(ABS(T20)+ABS(T21))*-1</f>
        <v>-16310891</v>
      </c>
      <c r="U22" s="1633"/>
      <c r="V22" s="1633"/>
      <c r="W22" s="1633"/>
      <c r="X22" s="1633"/>
      <c r="Y22" s="1632">
        <f t="shared" ref="Y22" si="0">(ABS(Y20)+ABS(Y21))*-1</f>
        <v>0</v>
      </c>
      <c r="Z22" s="1633"/>
      <c r="AA22" s="1633"/>
      <c r="AB22" s="1633"/>
      <c r="AC22" s="1633"/>
      <c r="AD22" s="1632">
        <f t="shared" ref="AD22" si="1">(ABS(AD20)+ABS(AD21))*-1</f>
        <v>0</v>
      </c>
      <c r="AE22" s="1633"/>
      <c r="AF22" s="1633"/>
      <c r="AG22" s="1633"/>
      <c r="AH22" s="1633"/>
      <c r="AI22" s="1632">
        <f t="shared" ref="AI22" si="2">(ABS(AI20)+ABS(AI21))*-1</f>
        <v>0</v>
      </c>
      <c r="AJ22" s="1633"/>
      <c r="AK22" s="1633"/>
      <c r="AL22" s="1633"/>
      <c r="AM22" s="1633"/>
    </row>
    <row r="23" spans="1:39" ht="12.9" customHeight="1">
      <c r="B23" s="1061" t="s">
        <v>1905</v>
      </c>
      <c r="C23" s="1062"/>
      <c r="D23" s="1062"/>
      <c r="E23" s="1062"/>
      <c r="F23" s="1062"/>
      <c r="G23" s="1062"/>
      <c r="H23" s="1062"/>
      <c r="I23" s="1062"/>
      <c r="J23" s="1062"/>
      <c r="K23" s="1062"/>
      <c r="L23" s="1062"/>
      <c r="M23" s="1062"/>
      <c r="N23" s="1062"/>
      <c r="O23" s="1062"/>
      <c r="P23" s="1062"/>
      <c r="Q23" s="1062"/>
      <c r="R23" s="1062"/>
      <c r="S23" s="1063"/>
      <c r="T23" s="1631">
        <f>T11+T22</f>
        <v>14642578</v>
      </c>
      <c r="U23" s="1273"/>
      <c r="V23" s="1273"/>
      <c r="W23" s="1273"/>
      <c r="X23" s="1273"/>
      <c r="Y23" s="1631">
        <f>Y11+Y22</f>
        <v>0</v>
      </c>
      <c r="Z23" s="1273"/>
      <c r="AA23" s="1273"/>
      <c r="AB23" s="1273"/>
      <c r="AC23" s="1273"/>
      <c r="AD23" s="1631">
        <f>IF(AD11=AD21,0,AD11)</f>
        <v>0</v>
      </c>
      <c r="AE23" s="1273"/>
      <c r="AF23" s="1273"/>
      <c r="AG23" s="1273"/>
      <c r="AH23" s="1273"/>
      <c r="AI23" s="1631">
        <f>IF(AI11=AI21,0,AI11)</f>
        <v>0</v>
      </c>
      <c r="AJ23" s="1273"/>
      <c r="AK23" s="1273"/>
      <c r="AL23" s="1273"/>
      <c r="AM23" s="1273"/>
    </row>
    <row r="24" spans="1:39" ht="12.9" customHeight="1">
      <c r="B24" s="1061" t="s">
        <v>1218</v>
      </c>
      <c r="C24" s="1062"/>
      <c r="D24" s="1062"/>
      <c r="E24" s="1062"/>
      <c r="F24" s="1062"/>
      <c r="G24" s="1062"/>
      <c r="H24" s="1062"/>
      <c r="I24" s="1062"/>
      <c r="J24" s="1062"/>
      <c r="K24" s="1062"/>
      <c r="L24" s="1062"/>
      <c r="M24" s="1062"/>
      <c r="N24" s="1062"/>
      <c r="O24" s="1062"/>
      <c r="P24" s="1062"/>
      <c r="Q24" s="1062"/>
      <c r="R24" s="1062"/>
      <c r="S24" s="1063"/>
      <c r="T24" s="1629">
        <f>Application!AJ1020</f>
        <v>40335881</v>
      </c>
      <c r="U24" s="1630"/>
      <c r="V24" s="1630"/>
      <c r="W24" s="1630"/>
      <c r="X24" s="1630"/>
      <c r="Y24" s="1630"/>
      <c r="Z24" s="1630"/>
      <c r="AA24" s="1630"/>
      <c r="AB24" s="1630"/>
      <c r="AC24" s="1630"/>
      <c r="AD24" s="1630"/>
      <c r="AE24" s="1630"/>
      <c r="AF24" s="1630"/>
      <c r="AG24" s="1630"/>
      <c r="AH24" s="1630"/>
      <c r="AI24" s="1630"/>
      <c r="AJ24" s="1630"/>
      <c r="AK24" s="1630"/>
      <c r="AL24" s="1630"/>
      <c r="AM24" s="1631"/>
    </row>
    <row r="25" spans="1:39" ht="12.9" customHeight="1">
      <c r="B25" s="1621" t="s">
        <v>1907</v>
      </c>
      <c r="C25" s="1622"/>
      <c r="D25" s="1622"/>
      <c r="E25" s="1622"/>
      <c r="F25" s="1622"/>
      <c r="G25" s="1622"/>
      <c r="H25" s="1622"/>
      <c r="I25" s="1622"/>
      <c r="J25" s="1622"/>
      <c r="K25" s="1622"/>
      <c r="L25" s="1622"/>
      <c r="M25" s="1622"/>
      <c r="N25" s="1622"/>
      <c r="O25" s="1622"/>
      <c r="P25" s="1622"/>
      <c r="Q25" s="1622"/>
      <c r="R25" s="1622"/>
      <c r="S25" s="1623"/>
      <c r="T25" s="1635">
        <f>IF(OR(AND(Application!T193="no",Application!T194="no",Application!T196="no",Application!Y211="no"),Application!T195="yes"),1,1.3)</f>
        <v>1.3</v>
      </c>
      <c r="U25" s="1636"/>
      <c r="V25" s="1636"/>
      <c r="W25" s="1636"/>
      <c r="X25" s="1636"/>
      <c r="Y25" s="1635">
        <v>1</v>
      </c>
      <c r="Z25" s="1636"/>
      <c r="AA25" s="1636"/>
      <c r="AB25" s="1636"/>
      <c r="AC25" s="1637"/>
      <c r="AD25" s="1635">
        <v>1</v>
      </c>
      <c r="AE25" s="1636"/>
      <c r="AF25" s="1636"/>
      <c r="AG25" s="1636"/>
      <c r="AH25" s="1637"/>
      <c r="AI25" s="1635">
        <v>1</v>
      </c>
      <c r="AJ25" s="1636"/>
      <c r="AK25" s="1636"/>
      <c r="AL25" s="1636"/>
      <c r="AM25" s="1637"/>
    </row>
    <row r="26" spans="1:39" ht="12.9" customHeight="1">
      <c r="B26" s="1061" t="s">
        <v>774</v>
      </c>
      <c r="C26" s="1062"/>
      <c r="D26" s="1062"/>
      <c r="E26" s="1062"/>
      <c r="F26" s="1062"/>
      <c r="G26" s="1062"/>
      <c r="H26" s="1062"/>
      <c r="I26" s="1062"/>
      <c r="J26" s="1062"/>
      <c r="K26" s="1062"/>
      <c r="L26" s="1062"/>
      <c r="M26" s="1062"/>
      <c r="N26" s="1062"/>
      <c r="O26" s="1062"/>
      <c r="P26" s="1062"/>
      <c r="Q26" s="1062"/>
      <c r="R26" s="1062"/>
      <c r="S26" s="1063"/>
      <c r="T26" s="1072">
        <f>T23*T25</f>
        <v>19035351.400000002</v>
      </c>
      <c r="U26" s="1634"/>
      <c r="V26" s="1634"/>
      <c r="W26" s="1634"/>
      <c r="X26" s="1634"/>
      <c r="Y26" s="1072">
        <f>Y23*Y25</f>
        <v>0</v>
      </c>
      <c r="Z26" s="1634"/>
      <c r="AA26" s="1634"/>
      <c r="AB26" s="1634"/>
      <c r="AC26" s="1634"/>
      <c r="AD26" s="1072">
        <f>AD23*AD25</f>
        <v>0</v>
      </c>
      <c r="AE26" s="1634"/>
      <c r="AF26" s="1634"/>
      <c r="AG26" s="1634"/>
      <c r="AH26" s="1634"/>
      <c r="AI26" s="1072">
        <f>AI23*AI25</f>
        <v>0</v>
      </c>
      <c r="AJ26" s="1634"/>
      <c r="AK26" s="1634"/>
      <c r="AL26" s="1634"/>
      <c r="AM26" s="1634"/>
    </row>
    <row r="27" spans="1:39" ht="12.9" customHeight="1">
      <c r="A27" s="4"/>
      <c r="B27" s="1624" t="s">
        <v>879</v>
      </c>
      <c r="C27" s="1625"/>
      <c r="D27" s="1625"/>
      <c r="E27" s="1625"/>
      <c r="F27" s="1625"/>
      <c r="G27" s="1625"/>
      <c r="H27" s="1625"/>
      <c r="I27" s="1625"/>
      <c r="J27" s="1625"/>
      <c r="K27" s="1625"/>
      <c r="L27" s="1625"/>
      <c r="M27" s="1625"/>
      <c r="N27" s="1625"/>
      <c r="O27" s="1625"/>
      <c r="P27" s="1625"/>
      <c r="Q27" s="1625"/>
      <c r="R27" s="1625"/>
      <c r="S27" s="1626"/>
      <c r="T27" s="1627">
        <f>Application!AG438</f>
        <v>1</v>
      </c>
      <c r="U27" s="1628"/>
      <c r="V27" s="1628"/>
      <c r="W27" s="1628"/>
      <c r="X27" s="1628"/>
      <c r="Y27" s="1627">
        <f>Application!AG438</f>
        <v>1</v>
      </c>
      <c r="Z27" s="1628"/>
      <c r="AA27" s="1628"/>
      <c r="AB27" s="1628"/>
      <c r="AC27" s="1628"/>
      <c r="AD27" s="1627">
        <f>Application!AG438</f>
        <v>1</v>
      </c>
      <c r="AE27" s="1628"/>
      <c r="AF27" s="1628"/>
      <c r="AG27" s="1628"/>
      <c r="AH27" s="1628"/>
      <c r="AI27" s="1627">
        <f>Application!AG438</f>
        <v>1</v>
      </c>
      <c r="AJ27" s="1628"/>
      <c r="AK27" s="1628"/>
      <c r="AL27" s="1628"/>
      <c r="AM27" s="1628"/>
    </row>
    <row r="28" spans="1:39" ht="12.9" customHeight="1">
      <c r="A28" s="3"/>
      <c r="B28" s="1061" t="s">
        <v>843</v>
      </c>
      <c r="C28" s="1062"/>
      <c r="D28" s="1062"/>
      <c r="E28" s="1062"/>
      <c r="F28" s="1062"/>
      <c r="G28" s="1062"/>
      <c r="H28" s="1062"/>
      <c r="I28" s="1062"/>
      <c r="J28" s="1062"/>
      <c r="K28" s="1062"/>
      <c r="L28" s="1062"/>
      <c r="M28" s="1062"/>
      <c r="N28" s="1062"/>
      <c r="O28" s="1062"/>
      <c r="P28" s="1062"/>
      <c r="Q28" s="1062"/>
      <c r="R28" s="1062"/>
      <c r="S28" s="1063"/>
      <c r="T28" s="1072">
        <f>IF(ISERROR((T26*T27)),0,(T26*T27))</f>
        <v>19035351.400000002</v>
      </c>
      <c r="U28" s="1634"/>
      <c r="V28" s="1634"/>
      <c r="W28" s="1634"/>
      <c r="X28" s="1634"/>
      <c r="Y28" s="1072">
        <f>IF(ISERROR((Y26*Y27)),0,(Y26*Y27))</f>
        <v>0</v>
      </c>
      <c r="Z28" s="1634"/>
      <c r="AA28" s="1634"/>
      <c r="AB28" s="1634"/>
      <c r="AC28" s="1634"/>
      <c r="AD28" s="1072">
        <f>IF(ISERROR((AD26*AD27)),0,(AD26*AD27))</f>
        <v>0</v>
      </c>
      <c r="AE28" s="1634"/>
      <c r="AF28" s="1634"/>
      <c r="AG28" s="1634"/>
      <c r="AH28" s="1634"/>
      <c r="AI28" s="1072">
        <f>IF(ISERROR((AI26*AI27)),0,(AI26*AI27))</f>
        <v>0</v>
      </c>
      <c r="AJ28" s="1634"/>
      <c r="AK28" s="1634"/>
      <c r="AL28" s="1634"/>
      <c r="AM28" s="1634"/>
    </row>
    <row r="29" spans="1:39" ht="12.9" customHeight="1">
      <c r="B29" s="1061" t="s">
        <v>623</v>
      </c>
      <c r="C29" s="1062"/>
      <c r="D29" s="1062"/>
      <c r="E29" s="1062"/>
      <c r="F29" s="1062"/>
      <c r="G29" s="1062"/>
      <c r="H29" s="1062"/>
      <c r="I29" s="1062"/>
      <c r="J29" s="1062"/>
      <c r="K29" s="1062"/>
      <c r="L29" s="1062"/>
      <c r="M29" s="1062"/>
      <c r="N29" s="1062"/>
      <c r="O29" s="1062"/>
      <c r="P29" s="1062"/>
      <c r="Q29" s="1062"/>
      <c r="R29" s="1062"/>
      <c r="S29" s="1063"/>
      <c r="T29" s="1629">
        <f>T28+Y28+AD28+AI28</f>
        <v>19035351.400000002</v>
      </c>
      <c r="U29" s="1630"/>
      <c r="V29" s="1630"/>
      <c r="W29" s="1630"/>
      <c r="X29" s="1630"/>
      <c r="Y29" s="1630"/>
      <c r="Z29" s="1630"/>
      <c r="AA29" s="1630"/>
      <c r="AB29" s="1630"/>
      <c r="AC29" s="1630"/>
      <c r="AD29" s="1630"/>
      <c r="AE29" s="1630"/>
      <c r="AF29" s="1630"/>
      <c r="AG29" s="1630"/>
      <c r="AH29" s="1630"/>
      <c r="AI29" s="1630"/>
      <c r="AJ29" s="1630"/>
      <c r="AK29" s="1630"/>
      <c r="AL29" s="1630"/>
      <c r="AM29" s="1631"/>
    </row>
    <row r="30" spans="1:39" ht="12.9" customHeight="1">
      <c r="B30" s="1665" t="s">
        <v>1906</v>
      </c>
      <c r="C30" s="1665"/>
      <c r="D30" s="1665"/>
      <c r="E30" s="1665"/>
      <c r="F30" s="1665"/>
      <c r="G30" s="1665"/>
      <c r="H30" s="1665"/>
      <c r="I30" s="1665"/>
      <c r="J30" s="1665"/>
      <c r="K30" s="1665"/>
      <c r="L30" s="1665"/>
      <c r="M30" s="1665"/>
      <c r="N30" s="1665"/>
      <c r="O30" s="1665"/>
      <c r="P30" s="1665"/>
      <c r="Q30" s="1665"/>
      <c r="R30" s="1665"/>
      <c r="S30" s="1665"/>
      <c r="T30" s="1665"/>
      <c r="U30" s="1665"/>
      <c r="V30" s="1665"/>
      <c r="W30" s="1665"/>
      <c r="X30" s="1665"/>
      <c r="Y30" s="1665"/>
      <c r="Z30" s="1665"/>
      <c r="AA30" s="1665"/>
      <c r="AB30" s="1665"/>
      <c r="AC30" s="1665"/>
      <c r="AD30" s="1665"/>
      <c r="AE30" s="1665"/>
      <c r="AF30" s="1665"/>
      <c r="AG30" s="1665"/>
      <c r="AH30" s="1665"/>
      <c r="AI30" s="1665"/>
      <c r="AJ30" s="1665"/>
      <c r="AK30" s="1665"/>
      <c r="AL30" s="1665"/>
      <c r="AM30" s="1665"/>
    </row>
    <row r="31" spans="1:39" ht="12.9" customHeight="1">
      <c r="B31" s="1666" t="s">
        <v>1908</v>
      </c>
      <c r="C31" s="1666"/>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c r="AC31" s="1666"/>
      <c r="AD31" s="1666"/>
      <c r="AE31" s="1666"/>
      <c r="AF31" s="1666"/>
      <c r="AG31" s="1666"/>
      <c r="AH31" s="1666"/>
      <c r="AI31" s="1666"/>
      <c r="AJ31" s="1666"/>
      <c r="AK31" s="1666"/>
      <c r="AL31" s="1666"/>
      <c r="AM31" s="166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38" t="s">
        <v>1605</v>
      </c>
      <c r="Z35" s="1638"/>
      <c r="AA35" s="1638"/>
      <c r="AB35" s="1638"/>
      <c r="AC35" s="1638"/>
      <c r="AD35" s="1520" t="s">
        <v>41</v>
      </c>
      <c r="AE35" s="1520"/>
      <c r="AF35" s="1520"/>
      <c r="AG35" s="1520"/>
      <c r="AH35" s="1520"/>
    </row>
    <row r="36" spans="1:44" ht="12.9" customHeight="1">
      <c r="B36" s="204"/>
      <c r="X36" s="71"/>
      <c r="Y36" s="1638"/>
      <c r="Z36" s="1638"/>
      <c r="AA36" s="1638"/>
      <c r="AB36" s="1638"/>
      <c r="AC36" s="1638"/>
      <c r="AD36" s="1520"/>
      <c r="AE36" s="1520"/>
      <c r="AF36" s="1520"/>
      <c r="AG36" s="1520"/>
      <c r="AH36" s="152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38"/>
      <c r="Z37" s="1638"/>
      <c r="AA37" s="1638"/>
      <c r="AB37" s="1638"/>
      <c r="AC37" s="1638"/>
      <c r="AD37" s="1520"/>
      <c r="AE37" s="1520"/>
      <c r="AF37" s="1520"/>
      <c r="AG37" s="1520"/>
      <c r="AH37" s="1520"/>
    </row>
    <row r="38" spans="1:44" ht="12.9" customHeight="1">
      <c r="A38" s="3"/>
      <c r="B38" s="1061" t="s">
        <v>843</v>
      </c>
      <c r="C38" s="1062"/>
      <c r="D38" s="1062"/>
      <c r="E38" s="1062"/>
      <c r="F38" s="1062"/>
      <c r="G38" s="1062"/>
      <c r="H38" s="1062"/>
      <c r="I38" s="1062"/>
      <c r="J38" s="1062"/>
      <c r="K38" s="1062"/>
      <c r="L38" s="1062"/>
      <c r="M38" s="1062"/>
      <c r="N38" s="1062"/>
      <c r="O38" s="1062"/>
      <c r="P38" s="1062"/>
      <c r="Q38" s="1062"/>
      <c r="R38" s="1062"/>
      <c r="S38" s="1062"/>
      <c r="T38" s="1062"/>
      <c r="U38" s="1062"/>
      <c r="V38" s="1062"/>
      <c r="W38" s="1062"/>
      <c r="X38" s="1063"/>
      <c r="Y38" s="1273">
        <f>IF(T24&gt;=(T23+Y23+AD23+AI23),T28+Y28,0)</f>
        <v>19035351.400000002</v>
      </c>
      <c r="Z38" s="1273"/>
      <c r="AA38" s="1273"/>
      <c r="AB38" s="1273"/>
      <c r="AC38" s="1273"/>
      <c r="AD38" s="1273">
        <f>IF(T24&gt;=(T23+Y23+AD23+AI23),AD28+AI28,0)</f>
        <v>0</v>
      </c>
      <c r="AE38" s="1273"/>
      <c r="AF38" s="1273"/>
      <c r="AG38" s="1273"/>
      <c r="AH38" s="1273"/>
    </row>
    <row r="39" spans="1:44" ht="12.9" customHeight="1">
      <c r="B39" s="1061" t="s">
        <v>1815</v>
      </c>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3"/>
      <c r="Y39" s="1669">
        <v>0.09</v>
      </c>
      <c r="Z39" s="1669"/>
      <c r="AA39" s="1669"/>
      <c r="AB39" s="1669"/>
      <c r="AC39" s="1669"/>
      <c r="AD39" s="1669">
        <v>0.04</v>
      </c>
      <c r="AE39" s="1669"/>
      <c r="AF39" s="1669"/>
      <c r="AG39" s="1669"/>
      <c r="AH39" s="1669"/>
    </row>
    <row r="40" spans="1:44" ht="12.9" customHeight="1">
      <c r="A40" s="3"/>
      <c r="B40" s="1061" t="s">
        <v>23</v>
      </c>
      <c r="C40" s="1062"/>
      <c r="D40" s="1062"/>
      <c r="E40" s="1062"/>
      <c r="F40" s="1062"/>
      <c r="G40" s="1062"/>
      <c r="H40" s="1062"/>
      <c r="I40" s="1062"/>
      <c r="J40" s="1062"/>
      <c r="K40" s="1062"/>
      <c r="L40" s="1062"/>
      <c r="M40" s="1062"/>
      <c r="N40" s="1062"/>
      <c r="O40" s="1062"/>
      <c r="P40" s="1062"/>
      <c r="Q40" s="1062"/>
      <c r="R40" s="1062"/>
      <c r="S40" s="1062"/>
      <c r="T40" s="1062"/>
      <c r="U40" s="1062"/>
      <c r="V40" s="1062"/>
      <c r="W40" s="1062"/>
      <c r="X40" s="1063"/>
      <c r="Y40" s="1273">
        <f>ROUND(Y38*Y39,0)</f>
        <v>1713182</v>
      </c>
      <c r="Z40" s="1273"/>
      <c r="AA40" s="1273"/>
      <c r="AB40" s="1273"/>
      <c r="AC40" s="1273"/>
      <c r="AD40" s="1631">
        <f>ROUND(AD38*AD39,0)</f>
        <v>0</v>
      </c>
      <c r="AE40" s="1273"/>
      <c r="AF40" s="1273"/>
      <c r="AG40" s="1273"/>
      <c r="AH40" s="1273"/>
    </row>
    <row r="41" spans="1:44" ht="12.9" customHeight="1">
      <c r="B41" s="1061" t="s">
        <v>617</v>
      </c>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3"/>
      <c r="Y41" s="1629">
        <f>IF(Application!Y211="No",'Basis &amp; Credits'!AR42,AR43)</f>
        <v>1713182</v>
      </c>
      <c r="Z41" s="1630"/>
      <c r="AA41" s="1630"/>
      <c r="AB41" s="1630"/>
      <c r="AC41" s="1630"/>
      <c r="AD41" s="1630"/>
      <c r="AE41" s="1630"/>
      <c r="AF41" s="1630"/>
      <c r="AG41" s="1630"/>
      <c r="AH41" s="1631"/>
    </row>
    <row r="42" spans="1:44" ht="12.9" customHeight="1">
      <c r="A42" s="3"/>
      <c r="B42" s="1663" t="s">
        <v>1816</v>
      </c>
      <c r="C42" s="1663"/>
      <c r="D42" s="1663"/>
      <c r="E42" s="1663"/>
      <c r="F42" s="1663"/>
      <c r="G42" s="1663"/>
      <c r="H42" s="1663"/>
      <c r="I42" s="1663"/>
      <c r="J42" s="1663"/>
      <c r="K42" s="1663"/>
      <c r="L42" s="1663"/>
      <c r="M42" s="1663"/>
      <c r="N42" s="1663"/>
      <c r="O42" s="1663"/>
      <c r="P42" s="1663"/>
      <c r="Q42" s="1663"/>
      <c r="R42" s="1663"/>
      <c r="S42" s="1663"/>
      <c r="T42" s="1663"/>
      <c r="U42" s="1663"/>
      <c r="V42" s="1663"/>
      <c r="W42" s="1663"/>
      <c r="X42" s="1663"/>
      <c r="Y42" s="1663"/>
      <c r="Z42" s="1663"/>
      <c r="AA42" s="1663"/>
      <c r="AB42" s="1663"/>
      <c r="AC42" s="1663"/>
      <c r="AD42" s="1663"/>
      <c r="AE42" s="1663"/>
      <c r="AF42" s="1663"/>
      <c r="AG42" s="1663"/>
      <c r="AH42" s="1663"/>
      <c r="AI42" s="26"/>
      <c r="AJ42" s="26"/>
      <c r="AK42" s="26"/>
      <c r="AL42" s="26"/>
      <c r="AM42" s="26"/>
      <c r="AN42" s="26"/>
      <c r="AR42">
        <f>IF((Y40+AD40)&gt;2500000,2500000,Y40+AD40)</f>
        <v>1713182</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1713182</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077">
        <f>'Sources and Uses Budget'!B104-(MAX(IF('Sources and Uses Budget'!B15="",0,'Sources and Uses Budget'!B15),IF(Application!AG387="",0,Application!AG387)))</f>
        <v>31965267</v>
      </c>
      <c r="AC46" s="1078"/>
      <c r="AD46" s="1078"/>
      <c r="AE46" s="1078"/>
      <c r="AF46" s="1079"/>
    </row>
    <row r="47" spans="1:44" ht="12.9" customHeight="1">
      <c r="D47" s="3" t="s">
        <v>837</v>
      </c>
      <c r="AB47" s="1077">
        <f>Application!AO633-MAX(IF('Sources and Uses Budget'!B15="",0,'Sources and Uses Budget'!B15),IF(Application!AG387="",0,Application!AG387))</f>
        <v>17146248</v>
      </c>
      <c r="AC47" s="1078"/>
      <c r="AD47" s="1078"/>
      <c r="AE47" s="1078"/>
      <c r="AF47" s="1079"/>
    </row>
    <row r="48" spans="1:44" ht="12.9" customHeight="1">
      <c r="D48" s="3" t="s">
        <v>378</v>
      </c>
      <c r="AB48" s="1077">
        <f>AB46-AB47</f>
        <v>14819019</v>
      </c>
      <c r="AC48" s="1078"/>
      <c r="AD48" s="1078"/>
      <c r="AE48" s="1078"/>
      <c r="AF48" s="1079"/>
    </row>
    <row r="49" spans="1:40" ht="12.9" customHeight="1">
      <c r="D49" s="3" t="s">
        <v>872</v>
      </c>
      <c r="AA49" s="34"/>
      <c r="AB49" s="1658">
        <v>0.86499999999999999</v>
      </c>
      <c r="AC49" s="1659"/>
      <c r="AD49" s="1659"/>
      <c r="AE49" s="1659"/>
      <c r="AF49" s="1660"/>
    </row>
    <row r="50" spans="1:40" s="323" customFormat="1" ht="12.9" customHeight="1">
      <c r="A50"/>
      <c r="B50"/>
      <c r="C50"/>
      <c r="D50"/>
      <c r="E50" s="1664" t="s">
        <v>1951</v>
      </c>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354"/>
      <c r="AB50" s="354"/>
      <c r="AC50" s="354"/>
      <c r="AD50" s="354"/>
      <c r="AE50" s="354"/>
      <c r="AF50" s="354"/>
      <c r="AG50"/>
      <c r="AH50"/>
      <c r="AI50"/>
      <c r="AJ50"/>
      <c r="AK50"/>
      <c r="AL50"/>
      <c r="AM50"/>
      <c r="AN50"/>
    </row>
    <row r="51" spans="1:40" s="323" customFormat="1" ht="12.9" customHeight="1">
      <c r="A51"/>
      <c r="B51"/>
      <c r="C51"/>
      <c r="D51"/>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077">
        <f>ROUND(IF(ISERROR((AB48/AB49)),0,(AB48/AB49)),0)</f>
        <v>17131814</v>
      </c>
      <c r="AC53" s="1078"/>
      <c r="AD53" s="1078"/>
      <c r="AE53" s="1078"/>
      <c r="AF53" s="1079"/>
    </row>
    <row r="54" spans="1:40" ht="12.9" customHeight="1">
      <c r="D54" s="3" t="s">
        <v>561</v>
      </c>
      <c r="AB54" s="1077">
        <f>(AB53/10)</f>
        <v>1713181.4</v>
      </c>
      <c r="AC54" s="1078"/>
      <c r="AD54" s="1078"/>
      <c r="AE54" s="1078"/>
      <c r="AF54" s="1079"/>
    </row>
    <row r="55" spans="1:40" ht="12.9" customHeight="1">
      <c r="D55" s="3" t="s">
        <v>341</v>
      </c>
      <c r="AB55" s="1077">
        <f>(IF((Y41&lt;AB54),Y41,AB54))</f>
        <v>1713181.4</v>
      </c>
      <c r="AC55" s="1078"/>
      <c r="AD55" s="1078"/>
      <c r="AE55" s="1078"/>
      <c r="AF55" s="1079"/>
    </row>
    <row r="56" spans="1:40" ht="12.9" customHeight="1">
      <c r="D56" s="3" t="s">
        <v>107</v>
      </c>
      <c r="AB56" s="1077">
        <f>ROUND((10*AB55*AB49),0)</f>
        <v>14819019</v>
      </c>
      <c r="AC56" s="1078"/>
      <c r="AD56" s="1078"/>
      <c r="AE56" s="1078"/>
      <c r="AF56" s="1079"/>
    </row>
    <row r="57" spans="1:40" ht="12.9" customHeight="1">
      <c r="D57" s="3"/>
      <c r="AB57" s="276"/>
      <c r="AC57" s="276"/>
      <c r="AD57" s="276"/>
      <c r="AE57" s="276"/>
      <c r="AF57" s="276"/>
    </row>
    <row r="58" spans="1:40" ht="12.9" customHeight="1">
      <c r="D58" s="3" t="s">
        <v>106</v>
      </c>
      <c r="AB58" s="1282">
        <f>AB48-AB56</f>
        <v>0</v>
      </c>
      <c r="AC58" s="1282"/>
      <c r="AD58" s="1282"/>
      <c r="AE58" s="1282"/>
      <c r="AF58" s="1282"/>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67" t="s">
        <v>1750</v>
      </c>
      <c r="B60" s="1667"/>
      <c r="C60" s="1667"/>
      <c r="D60" s="1667"/>
      <c r="E60" s="1667"/>
      <c r="F60" s="1667"/>
      <c r="G60" s="1667"/>
      <c r="H60" s="1667"/>
      <c r="I60" s="1667"/>
      <c r="J60" s="1667"/>
      <c r="K60" s="1667"/>
      <c r="L60" s="1667"/>
      <c r="M60" s="1667"/>
      <c r="N60" s="1667"/>
      <c r="O60" s="1667"/>
      <c r="P60" s="1667"/>
      <c r="Q60" s="1667"/>
      <c r="R60" s="1667"/>
      <c r="S60" s="1667"/>
      <c r="T60" s="1667"/>
      <c r="U60" s="1667"/>
      <c r="V60" s="1667"/>
      <c r="W60" s="1667"/>
      <c r="X60" s="1667"/>
      <c r="Y60" s="1667"/>
      <c r="Z60" s="1667"/>
      <c r="AA60" s="1667"/>
      <c r="AB60" s="1667"/>
      <c r="AC60" s="1667"/>
      <c r="AD60" s="1667"/>
      <c r="AE60" s="1667"/>
      <c r="AF60" s="1667"/>
      <c r="AG60" s="1667"/>
      <c r="AH60" s="1667"/>
      <c r="AI60" s="1667"/>
      <c r="AJ60" s="1667"/>
      <c r="AK60" s="1667"/>
      <c r="AL60" s="1667"/>
      <c r="AM60" s="1667"/>
      <c r="AN60" s="1667"/>
    </row>
    <row r="61" spans="1:40" ht="12.9" customHeight="1" thickTop="1">
      <c r="A61" s="1567"/>
      <c r="B61" s="1567"/>
      <c r="C61" s="1567"/>
      <c r="D61" s="1567"/>
      <c r="E61" s="1567"/>
      <c r="F61" s="1567"/>
      <c r="G61" s="1567"/>
      <c r="H61" s="1567"/>
      <c r="I61" s="1567"/>
      <c r="J61" s="1567"/>
      <c r="K61" s="1567"/>
      <c r="L61" s="156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row>
    <row r="62" spans="1:40" ht="12.9" customHeight="1">
      <c r="A62" s="3" t="s">
        <v>122</v>
      </c>
      <c r="C62" s="3" t="s">
        <v>509</v>
      </c>
      <c r="Y62" s="1245" t="s">
        <v>298</v>
      </c>
      <c r="Z62" s="1245"/>
      <c r="AA62" s="1245"/>
      <c r="AB62" s="1245"/>
      <c r="AC62" s="1245"/>
      <c r="AD62" s="1245" t="s">
        <v>41</v>
      </c>
      <c r="AE62" s="1245"/>
      <c r="AF62" s="1245"/>
      <c r="AG62" s="1245"/>
      <c r="AH62" s="1245"/>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34">
        <f>IF(AND(Application!T193="No",Application!T194="No"),T28,IF(OR(AND(T25=1.3,Application!T196="Yes",Application!D214="Special Needs"),T25=1),(T23*T27)+Y28,Y28))</f>
        <v>0</v>
      </c>
      <c r="Z63" s="1661"/>
      <c r="AA63" s="1661"/>
      <c r="AB63" s="1661"/>
      <c r="AC63" s="1661"/>
      <c r="AD63" s="1273">
        <f>IF(AND(T25=1.3,Application!D214="At-Risk"),AI28,IF(Application!D214&lt;&gt;"At-Risk",0,AD28))</f>
        <v>0</v>
      </c>
      <c r="AE63" s="1661"/>
      <c r="AF63" s="1661"/>
      <c r="AG63" s="1661"/>
      <c r="AH63" s="1661"/>
    </row>
    <row r="64" spans="1:40" ht="12.9" customHeight="1">
      <c r="C64" s="3"/>
      <c r="E64" s="1668" t="s">
        <v>1289</v>
      </c>
      <c r="F64" s="1668"/>
      <c r="G64" s="1668"/>
      <c r="H64" s="1668"/>
      <c r="I64" s="1668"/>
      <c r="J64" s="1668"/>
      <c r="K64" s="1668"/>
      <c r="L64" s="1668"/>
      <c r="M64" s="1668"/>
      <c r="N64" s="1668"/>
      <c r="O64" s="1668"/>
      <c r="P64" s="1668"/>
      <c r="Q64" s="1668"/>
      <c r="R64" s="1668"/>
      <c r="S64" s="1668"/>
      <c r="T64" s="1668"/>
      <c r="U64" s="1668"/>
      <c r="V64" s="1668"/>
      <c r="W64" s="1668"/>
      <c r="X64" s="1668"/>
      <c r="Y64" s="1668"/>
      <c r="Z64" s="1668"/>
      <c r="AA64" s="1668"/>
      <c r="AB64" s="1668"/>
      <c r="AC64" s="1668"/>
      <c r="AD64" s="1668"/>
      <c r="AE64" s="1668"/>
      <c r="AF64" s="1668"/>
      <c r="AG64" s="1668"/>
      <c r="AH64" s="1668"/>
    </row>
    <row r="65" spans="1:34" ht="21.75" customHeight="1">
      <c r="C65" s="3"/>
      <c r="E65" s="1668"/>
      <c r="F65" s="1668"/>
      <c r="G65" s="1668"/>
      <c r="H65" s="1668"/>
      <c r="I65" s="1668"/>
      <c r="J65" s="1668"/>
      <c r="K65" s="1668"/>
      <c r="L65" s="1668"/>
      <c r="M65" s="1668"/>
      <c r="N65" s="1668"/>
      <c r="O65" s="1668"/>
      <c r="P65" s="1668"/>
      <c r="Q65" s="1668"/>
      <c r="R65" s="1668"/>
      <c r="S65" s="1668"/>
      <c r="T65" s="1668"/>
      <c r="U65" s="1668"/>
      <c r="V65" s="1668"/>
      <c r="W65" s="1668"/>
      <c r="X65" s="1668"/>
      <c r="Y65" s="1668"/>
      <c r="Z65" s="1668"/>
      <c r="AA65" s="1668"/>
      <c r="AB65" s="1668"/>
      <c r="AC65" s="1668"/>
      <c r="AD65" s="1668"/>
      <c r="AE65" s="1668"/>
      <c r="AF65" s="1668"/>
      <c r="AG65" s="1668"/>
      <c r="AH65" s="166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57">
        <f>IF(Application!W198="Yes",95%, 30%)</f>
        <v>0.3</v>
      </c>
      <c r="Z66" s="1657"/>
      <c r="AA66" s="1657"/>
      <c r="AB66" s="1657"/>
      <c r="AC66" s="1657"/>
      <c r="AD66" s="1657">
        <f>IF(Application!W198="Yes",95%, 13%)</f>
        <v>0.13</v>
      </c>
      <c r="AE66" s="1657"/>
      <c r="AF66" s="1657"/>
      <c r="AG66" s="1657"/>
      <c r="AH66" s="1657"/>
    </row>
    <row r="67" spans="1:34" ht="12.9" customHeight="1">
      <c r="C67" s="3"/>
      <c r="D67" s="3" t="s">
        <v>941</v>
      </c>
      <c r="Y67" s="1273">
        <f>ROUND(Y63*Y66,0)</f>
        <v>0</v>
      </c>
      <c r="Z67" s="1661"/>
      <c r="AA67" s="1661"/>
      <c r="AB67" s="1661"/>
      <c r="AC67" s="1661"/>
      <c r="AD67" s="1273" t="str">
        <f>IF(OR(Application!D211="At-Risk",Application!D211="At-Risk/Located in Rural Census Tract",Application!D214="At-Risk"),ROUND(AD63*AD66,0),"$0")</f>
        <v>$0</v>
      </c>
      <c r="AE67" s="1273"/>
      <c r="AF67" s="1273"/>
      <c r="AG67" s="1273"/>
      <c r="AH67" s="1273"/>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58"/>
      <c r="AC70" s="1659"/>
      <c r="AD70" s="1659"/>
      <c r="AE70" s="1659"/>
      <c r="AF70" s="1660"/>
    </row>
    <row r="71" spans="1:34" ht="12.9" customHeight="1">
      <c r="A71" s="3"/>
      <c r="C71" s="3"/>
      <c r="D71" s="3"/>
      <c r="E71" s="1662" t="s">
        <v>2249</v>
      </c>
      <c r="F71" s="1662"/>
      <c r="G71" s="1662"/>
      <c r="H71" s="1662"/>
      <c r="I71" s="1662"/>
      <c r="J71" s="1662"/>
      <c r="K71" s="1662"/>
      <c r="L71" s="1662"/>
      <c r="M71" s="1662"/>
      <c r="N71" s="1662"/>
      <c r="O71" s="1662"/>
      <c r="P71" s="1662"/>
      <c r="Q71" s="1662"/>
      <c r="R71" s="1662"/>
      <c r="S71" s="1662"/>
      <c r="T71" s="1662"/>
      <c r="U71" s="1662"/>
      <c r="V71" s="1662"/>
      <c r="W71" s="1662"/>
      <c r="X71" s="1662"/>
      <c r="Y71" s="1662"/>
      <c r="Z71" s="1662"/>
      <c r="AA71" s="253"/>
      <c r="AB71" s="253"/>
      <c r="AC71" s="253"/>
    </row>
    <row r="72" spans="1:34" ht="12.9" customHeight="1">
      <c r="A72" s="3"/>
      <c r="C72" s="3"/>
      <c r="D72" s="3"/>
      <c r="E72" s="1662"/>
      <c r="F72" s="1662"/>
      <c r="G72" s="1662"/>
      <c r="H72" s="1662"/>
      <c r="I72" s="1662"/>
      <c r="J72" s="1662"/>
      <c r="K72" s="1662"/>
      <c r="L72" s="1662"/>
      <c r="M72" s="1662"/>
      <c r="N72" s="1662"/>
      <c r="O72" s="1662"/>
      <c r="P72" s="1662"/>
      <c r="Q72" s="1662"/>
      <c r="R72" s="1662"/>
      <c r="S72" s="1662"/>
      <c r="T72" s="1662"/>
      <c r="U72" s="1662"/>
      <c r="V72" s="1662"/>
      <c r="W72" s="1662"/>
      <c r="X72" s="1662"/>
      <c r="Y72" s="1662"/>
      <c r="Z72" s="1662"/>
      <c r="AA72" s="253"/>
      <c r="AB72" s="253"/>
      <c r="AC72" s="253"/>
    </row>
    <row r="73" spans="1:34" ht="12.9" customHeight="1">
      <c r="A73" s="3"/>
      <c r="C73" s="3"/>
      <c r="D73" s="3"/>
      <c r="E73" s="1662"/>
      <c r="F73" s="1662"/>
      <c r="G73" s="1662"/>
      <c r="H73" s="1662"/>
      <c r="I73" s="1662"/>
      <c r="J73" s="1662"/>
      <c r="K73" s="1662"/>
      <c r="L73" s="1662"/>
      <c r="M73" s="1662"/>
      <c r="N73" s="1662"/>
      <c r="O73" s="1662"/>
      <c r="P73" s="1662"/>
      <c r="Q73" s="1662"/>
      <c r="R73" s="1662"/>
      <c r="S73" s="1662"/>
      <c r="T73" s="1662"/>
      <c r="U73" s="1662"/>
      <c r="V73" s="1662"/>
      <c r="W73" s="1662"/>
      <c r="X73" s="1662"/>
      <c r="Y73" s="1662"/>
      <c r="Z73" s="166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39">
        <f>ROUND(IF(ISERROR((AB58/AB70)),0,(AB58/AB70)),0)</f>
        <v>0</v>
      </c>
      <c r="AC75" s="1539"/>
      <c r="AD75" s="1539"/>
      <c r="AE75" s="1539"/>
      <c r="AF75" s="1539"/>
    </row>
    <row r="76" spans="1:34" ht="12.9" customHeight="1">
      <c r="C76" s="3"/>
      <c r="D76" s="3" t="s">
        <v>105</v>
      </c>
      <c r="AB76" s="1579">
        <f>IF((Y67+AD67&lt;AB75),Y67+AD67,AB75)</f>
        <v>0</v>
      </c>
      <c r="AC76" s="1580"/>
      <c r="AD76" s="1580"/>
      <c r="AE76" s="1580"/>
      <c r="AF76" s="1581"/>
    </row>
    <row r="77" spans="1:34" ht="12.9" customHeight="1">
      <c r="C77" s="3"/>
      <c r="D77" s="3" t="s">
        <v>942</v>
      </c>
      <c r="AB77" s="1656">
        <f>AB76*AB70</f>
        <v>0</v>
      </c>
      <c r="AC77" s="1656"/>
      <c r="AD77" s="1656"/>
      <c r="AE77" s="1656"/>
      <c r="AF77" s="1656"/>
    </row>
    <row r="78" spans="1:34" ht="12.9" customHeight="1">
      <c r="C78" s="3"/>
      <c r="D78" s="3"/>
      <c r="AB78" s="598"/>
      <c r="AC78" s="598"/>
      <c r="AD78" s="598"/>
      <c r="AE78" s="598"/>
      <c r="AF78" s="598"/>
    </row>
    <row r="79" spans="1:34" ht="12.9" customHeight="1">
      <c r="D79" s="3" t="s">
        <v>106</v>
      </c>
      <c r="AB79" s="1282">
        <f>AB48-(AB56+AB77)</f>
        <v>0</v>
      </c>
      <c r="AC79" s="1282"/>
      <c r="AD79" s="1282"/>
      <c r="AE79" s="1282"/>
      <c r="AF79" s="1282"/>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 workbookViewId="0">
      <selection activeCell="F42" sqref="F42"/>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70" t="s">
        <v>1823</v>
      </c>
      <c r="B1" s="1671"/>
      <c r="C1" s="1671"/>
      <c r="D1" s="1671"/>
      <c r="E1" s="1671"/>
      <c r="F1" s="1671"/>
      <c r="G1" s="1671"/>
      <c r="H1" s="1671"/>
      <c r="I1" s="1671"/>
      <c r="J1" s="167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650000</v>
      </c>
      <c r="C4" s="585">
        <f>+B4</f>
        <v>650000</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650000</v>
      </c>
      <c r="C8" s="584">
        <f>SUM(C4:C7)</f>
        <v>650000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650000</v>
      </c>
      <c r="C12" s="584">
        <f>SUM(C8+C11)</f>
        <v>650000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5208171</v>
      </c>
      <c r="C28" s="585">
        <f>+B28</f>
        <v>5208171</v>
      </c>
      <c r="D28" s="585"/>
      <c r="E28" s="584">
        <f>'Sources and Uses Budget'!S29</f>
        <v>5208171</v>
      </c>
      <c r="F28" s="585">
        <f t="shared" ref="F28:F36" si="0">+E28</f>
        <v>5208171</v>
      </c>
      <c r="G28" s="585"/>
      <c r="H28" s="584">
        <f>'Sources and Uses Budget'!T29</f>
        <v>0</v>
      </c>
      <c r="I28" s="585"/>
      <c r="J28" s="585"/>
      <c r="K28" s="579"/>
    </row>
    <row r="29" spans="1:11" s="253" customFormat="1" ht="11.4">
      <c r="A29" s="239" t="s">
        <v>911</v>
      </c>
      <c r="B29" s="584">
        <f>'Sources and Uses Budget'!C30</f>
        <v>14035489</v>
      </c>
      <c r="C29" s="585">
        <f t="shared" ref="C29:C36" si="1">+B29</f>
        <v>14035489</v>
      </c>
      <c r="D29" s="585"/>
      <c r="E29" s="584">
        <f>'Sources and Uses Budget'!S30</f>
        <v>14035489</v>
      </c>
      <c r="F29" s="585">
        <f t="shared" si="0"/>
        <v>14035489</v>
      </c>
      <c r="G29" s="585"/>
      <c r="H29" s="584">
        <f>'Sources and Uses Budget'!T30</f>
        <v>0</v>
      </c>
      <c r="I29" s="585"/>
      <c r="J29" s="585"/>
      <c r="K29" s="579"/>
    </row>
    <row r="30" spans="1:11" s="253" customFormat="1" ht="11.4">
      <c r="A30" s="239" t="s">
        <v>912</v>
      </c>
      <c r="B30" s="584">
        <f>'Sources and Uses Budget'!C31</f>
        <v>1154620</v>
      </c>
      <c r="C30" s="585">
        <f t="shared" si="1"/>
        <v>1154620</v>
      </c>
      <c r="D30" s="585"/>
      <c r="E30" s="584">
        <f>'Sources and Uses Budget'!S31</f>
        <v>1154620</v>
      </c>
      <c r="F30" s="585">
        <f t="shared" si="0"/>
        <v>1154620</v>
      </c>
      <c r="G30" s="585"/>
      <c r="H30" s="584">
        <f>'Sources and Uses Budget'!T31</f>
        <v>0</v>
      </c>
      <c r="I30" s="585"/>
      <c r="J30" s="585"/>
      <c r="K30" s="579"/>
    </row>
    <row r="31" spans="1:11" s="253" customFormat="1" ht="11.4">
      <c r="A31" s="239" t="s">
        <v>913</v>
      </c>
      <c r="B31" s="584">
        <f>'Sources and Uses Budget'!C32</f>
        <v>407966</v>
      </c>
      <c r="C31" s="585">
        <f t="shared" si="1"/>
        <v>407966</v>
      </c>
      <c r="D31" s="585"/>
      <c r="E31" s="584">
        <f>'Sources and Uses Budget'!S32</f>
        <v>407966</v>
      </c>
      <c r="F31" s="585">
        <f t="shared" si="0"/>
        <v>407966</v>
      </c>
      <c r="G31" s="585"/>
      <c r="H31" s="584">
        <f>'Sources and Uses Budget'!T32</f>
        <v>0</v>
      </c>
      <c r="I31" s="585"/>
      <c r="J31" s="585"/>
      <c r="K31" s="579"/>
    </row>
    <row r="32" spans="1:11" s="253" customFormat="1" ht="11.4">
      <c r="A32" s="239" t="s">
        <v>914</v>
      </c>
      <c r="B32" s="584">
        <f>'Sources and Uses Budget'!C33</f>
        <v>1223897</v>
      </c>
      <c r="C32" s="585">
        <f t="shared" si="1"/>
        <v>1223897</v>
      </c>
      <c r="D32" s="585"/>
      <c r="E32" s="584">
        <f>'Sources and Uses Budget'!S33</f>
        <v>1223897</v>
      </c>
      <c r="F32" s="585">
        <f t="shared" si="0"/>
        <v>1223897</v>
      </c>
      <c r="G32" s="585"/>
      <c r="H32" s="584">
        <f>'Sources and Uses Budget'!T33</f>
        <v>0</v>
      </c>
      <c r="I32" s="585"/>
      <c r="J32" s="585"/>
      <c r="K32" s="579"/>
    </row>
    <row r="33" spans="1:11" s="253" customFormat="1" ht="11.4">
      <c r="A33" s="239" t="s">
        <v>915</v>
      </c>
      <c r="B33" s="584">
        <f>'Sources and Uses Budget'!C34</f>
        <v>0</v>
      </c>
      <c r="C33" s="585">
        <f t="shared" si="1"/>
        <v>0</v>
      </c>
      <c r="D33" s="585"/>
      <c r="E33" s="584">
        <f>'Sources and Uses Budget'!S34</f>
        <v>0</v>
      </c>
      <c r="F33" s="585">
        <f t="shared" si="0"/>
        <v>0</v>
      </c>
      <c r="G33" s="585"/>
      <c r="H33" s="584">
        <f>'Sources and Uses Budget'!T34</f>
        <v>0</v>
      </c>
      <c r="I33" s="585"/>
      <c r="J33" s="585"/>
      <c r="K33" s="579"/>
    </row>
    <row r="34" spans="1:11" s="253" customFormat="1" ht="11.4">
      <c r="A34" s="239" t="s">
        <v>916</v>
      </c>
      <c r="B34" s="584">
        <f>'Sources and Uses Budget'!C35</f>
        <v>771055</v>
      </c>
      <c r="C34" s="585">
        <f t="shared" si="1"/>
        <v>771055</v>
      </c>
      <c r="D34" s="585"/>
      <c r="E34" s="584">
        <f>'Sources and Uses Budget'!S35</f>
        <v>771055</v>
      </c>
      <c r="F34" s="585">
        <f t="shared" si="0"/>
        <v>771055</v>
      </c>
      <c r="G34" s="585"/>
      <c r="H34" s="584">
        <f>'Sources and Uses Budget'!T35</f>
        <v>0</v>
      </c>
      <c r="I34" s="585"/>
      <c r="J34" s="585"/>
      <c r="K34" s="579"/>
    </row>
    <row r="35" spans="1:11" s="253" customFormat="1" ht="11.4">
      <c r="A35" s="239" t="str">
        <f>'Sources and Uses Budget'!$A36</f>
        <v>Third-party Construction Management</v>
      </c>
      <c r="B35" s="584">
        <f>'Sources and Uses Budget'!C36</f>
        <v>250000</v>
      </c>
      <c r="C35" s="585">
        <f t="shared" si="1"/>
        <v>250000</v>
      </c>
      <c r="D35" s="585"/>
      <c r="E35" s="584">
        <f>'Sources and Uses Budget'!S36</f>
        <v>250000</v>
      </c>
      <c r="F35" s="585">
        <f t="shared" si="0"/>
        <v>250000</v>
      </c>
      <c r="G35" s="585"/>
      <c r="H35" s="584">
        <f>'Sources and Uses Budget'!T36</f>
        <v>0</v>
      </c>
      <c r="I35" s="585"/>
      <c r="J35" s="585"/>
      <c r="K35" s="579"/>
    </row>
    <row r="36" spans="1:11" s="253" customFormat="1" ht="11.4">
      <c r="A36" s="239" t="str">
        <f>'Sources and Uses Budget'!$A37</f>
        <v>Other: (Specify)</v>
      </c>
      <c r="B36" s="584">
        <f>'Sources and Uses Budget'!C37</f>
        <v>0</v>
      </c>
      <c r="C36" s="585">
        <f t="shared" si="1"/>
        <v>0</v>
      </c>
      <c r="D36" s="585"/>
      <c r="E36" s="584">
        <f>'Sources and Uses Budget'!S37</f>
        <v>0</v>
      </c>
      <c r="F36" s="585">
        <f t="shared" si="0"/>
        <v>0</v>
      </c>
      <c r="G36" s="585"/>
      <c r="H36" s="584">
        <f>'Sources and Uses Budget'!T37</f>
        <v>0</v>
      </c>
      <c r="I36" s="585"/>
      <c r="J36" s="585"/>
      <c r="K36" s="579"/>
    </row>
    <row r="37" spans="1:11" s="253" customFormat="1">
      <c r="A37" s="243" t="s">
        <v>919</v>
      </c>
      <c r="B37" s="584">
        <f>'Sources and Uses Budget'!C38</f>
        <v>23051198</v>
      </c>
      <c r="C37" s="584">
        <f>SUM(C28:C36)</f>
        <v>23051198</v>
      </c>
      <c r="D37" s="584">
        <f>SUM(D28:D36)</f>
        <v>0</v>
      </c>
      <c r="E37" s="584">
        <f>'Sources and Uses Budget'!S38</f>
        <v>23051198</v>
      </c>
      <c r="F37" s="587">
        <f>SUM(F28:F36)</f>
        <v>23051198</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912925</v>
      </c>
      <c r="C39" s="585">
        <f t="shared" ref="C39:C40" si="2">+B39</f>
        <v>912925</v>
      </c>
      <c r="D39" s="585"/>
      <c r="E39" s="584">
        <f>'Sources and Uses Budget'!S40</f>
        <v>912925</v>
      </c>
      <c r="F39" s="585">
        <f t="shared" ref="F39:F40" si="3">+E39</f>
        <v>912925</v>
      </c>
      <c r="G39" s="585"/>
      <c r="H39" s="584">
        <f>'Sources and Uses Budget'!T40</f>
        <v>0</v>
      </c>
      <c r="I39" s="585"/>
      <c r="J39" s="585"/>
      <c r="K39" s="579"/>
    </row>
    <row r="40" spans="1:11" s="253" customFormat="1" ht="11.4">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912925</v>
      </c>
      <c r="C41" s="584">
        <f>SUM(C38:C40)</f>
        <v>912925</v>
      </c>
      <c r="D41" s="584">
        <f>SUM(D38:D40)</f>
        <v>0</v>
      </c>
      <c r="E41" s="584">
        <f>'Sources and Uses Budget'!S42</f>
        <v>912925</v>
      </c>
      <c r="F41" s="587">
        <f>SUM(F39:F40)</f>
        <v>912925</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850000</v>
      </c>
      <c r="C44" s="585">
        <f t="shared" ref="C44:C51" si="4">+B44</f>
        <v>850000</v>
      </c>
      <c r="D44" s="585"/>
      <c r="E44" s="584">
        <f>'Sources and Uses Budget'!S45</f>
        <v>850000</v>
      </c>
      <c r="F44" s="585">
        <f t="shared" ref="F44:F50" si="5">+E44</f>
        <v>850000</v>
      </c>
      <c r="G44" s="585"/>
      <c r="H44" s="584">
        <f>'Sources and Uses Budget'!T45</f>
        <v>0</v>
      </c>
      <c r="I44" s="585"/>
      <c r="J44" s="585"/>
      <c r="K44" s="579"/>
    </row>
    <row r="45" spans="1:11" s="253" customFormat="1" ht="11.4">
      <c r="A45" s="239" t="s">
        <v>927</v>
      </c>
      <c r="B45" s="584">
        <f>'Sources and Uses Budget'!C46</f>
        <v>196524</v>
      </c>
      <c r="C45" s="585">
        <f t="shared" si="4"/>
        <v>196524</v>
      </c>
      <c r="D45" s="585"/>
      <c r="E45" s="584">
        <f>'Sources and Uses Budget'!S46</f>
        <v>196524</v>
      </c>
      <c r="F45" s="585">
        <f t="shared" si="5"/>
        <v>196524</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ht="11.4">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ht="11.4">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ht="11.4">
      <c r="A49" s="239" t="s">
        <v>930</v>
      </c>
      <c r="B49" s="584">
        <f>'Sources and Uses Budget'!C50</f>
        <v>13000</v>
      </c>
      <c r="C49" s="585">
        <f t="shared" si="4"/>
        <v>13000</v>
      </c>
      <c r="D49" s="585"/>
      <c r="E49" s="584">
        <f>'Sources and Uses Budget'!S50</f>
        <v>13000</v>
      </c>
      <c r="F49" s="585">
        <f t="shared" si="5"/>
        <v>13000</v>
      </c>
      <c r="G49" s="585"/>
      <c r="H49" s="584">
        <f>'Sources and Uses Budget'!T50</f>
        <v>0</v>
      </c>
      <c r="I49" s="585"/>
      <c r="J49" s="585"/>
      <c r="K49" s="579"/>
    </row>
    <row r="50" spans="1:11" s="253" customFormat="1" ht="11.4">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ht="11.4">
      <c r="A51" s="239" t="str">
        <f>'Sources and Uses Budget'!$A52</f>
        <v>Inspection Fees</v>
      </c>
      <c r="B51" s="584">
        <f>'Sources and Uses Budget'!C52</f>
        <v>20000</v>
      </c>
      <c r="C51" s="585">
        <f t="shared" si="4"/>
        <v>20000</v>
      </c>
      <c r="D51" s="585"/>
      <c r="E51" s="584">
        <f>'Sources and Uses Budget'!S52</f>
        <v>20000</v>
      </c>
      <c r="F51" s="585">
        <f>+E51</f>
        <v>20000</v>
      </c>
      <c r="G51" s="585"/>
      <c r="H51" s="584">
        <f>'Sources and Uses Budget'!T52</f>
        <v>0</v>
      </c>
      <c r="I51" s="585"/>
      <c r="J51" s="585"/>
      <c r="K51" s="579"/>
    </row>
    <row r="52" spans="1:11" s="577" customFormat="1">
      <c r="A52" s="243" t="s">
        <v>933</v>
      </c>
      <c r="B52" s="584">
        <f>'Sources and Uses Budget'!C53</f>
        <v>1154524</v>
      </c>
      <c r="C52" s="587">
        <f>SUM(C44:C51)</f>
        <v>1154524</v>
      </c>
      <c r="D52" s="587">
        <f>SUM(D44:D51)</f>
        <v>0</v>
      </c>
      <c r="E52" s="584">
        <f>'Sources and Uses Budget'!S53</f>
        <v>1154524</v>
      </c>
      <c r="F52" s="587">
        <f>SUM(F44:F51)</f>
        <v>1154524</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6" si="6">+B55</f>
        <v>10000</v>
      </c>
      <c r="D55" s="585"/>
      <c r="E55" s="586"/>
      <c r="F55" s="586"/>
      <c r="G55" s="586"/>
      <c r="H55" s="586"/>
      <c r="I55" s="586"/>
      <c r="J55" s="586"/>
      <c r="K55" s="579"/>
    </row>
    <row r="56" spans="1:11" s="253" customFormat="1" ht="11.4">
      <c r="A56" s="239" t="s">
        <v>932</v>
      </c>
      <c r="B56" s="584">
        <f>'Sources and Uses Budget'!C57</f>
        <v>5000</v>
      </c>
      <c r="C56" s="585">
        <f t="shared" si="6"/>
        <v>5000</v>
      </c>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15000</v>
      </c>
      <c r="C60" s="584">
        <f>SUM(C54:C59)</f>
        <v>15000</v>
      </c>
      <c r="D60" s="584">
        <f>SUM(D54:D59)</f>
        <v>0</v>
      </c>
      <c r="E60" s="586"/>
      <c r="F60" s="586"/>
      <c r="G60" s="586"/>
      <c r="H60" s="586"/>
      <c r="I60" s="586"/>
      <c r="J60" s="586"/>
      <c r="K60" s="579"/>
    </row>
    <row r="61" spans="1:11" s="253" customFormat="1" ht="11.4">
      <c r="A61" s="249" t="s">
        <v>501</v>
      </c>
      <c r="B61" s="584">
        <f>'Sources and Uses Budget'!C62</f>
        <v>25883647</v>
      </c>
      <c r="C61" s="584">
        <f>SUM(C8+C11+C13+C14+C15+C25+C26+C37+C41+C42+C52+C60)</f>
        <v>25883647</v>
      </c>
      <c r="D61" s="584">
        <f>SUM(D8+D11+D13+D14+D15+D25+D26+D37+D41+D42+D52+D60)</f>
        <v>0</v>
      </c>
      <c r="E61" s="584">
        <f>'Sources and Uses Budget'!S62</f>
        <v>25218647</v>
      </c>
      <c r="F61" s="584">
        <f>SUM(F10+F13+F14+F15+F25+F26+F37+F41+F42+F52)</f>
        <v>25218647</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65000</v>
      </c>
      <c r="C63" s="585">
        <f>+B63</f>
        <v>65000</v>
      </c>
      <c r="D63" s="585"/>
      <c r="E63" s="584">
        <f>'Sources and Uses Budget'!S64</f>
        <v>65000</v>
      </c>
      <c r="F63" s="585">
        <f t="shared" ref="F63:F67" si="7">+E63</f>
        <v>65000</v>
      </c>
      <c r="G63" s="585"/>
      <c r="H63" s="584">
        <f>'Sources and Uses Budget'!T64</f>
        <v>0</v>
      </c>
      <c r="I63" s="585"/>
      <c r="J63" s="585"/>
      <c r="K63" s="579"/>
    </row>
    <row r="64" spans="1:11" s="253" customFormat="1" ht="22.8">
      <c r="A64" s="239" t="s">
        <v>1954</v>
      </c>
      <c r="B64" s="584">
        <f>'Sources and Uses Budget'!C65</f>
        <v>0</v>
      </c>
      <c r="C64" s="585"/>
      <c r="D64" s="585"/>
      <c r="E64" s="584">
        <f>'Sources and Uses Budget'!S65</f>
        <v>0</v>
      </c>
      <c r="F64" s="585">
        <f t="shared" si="7"/>
        <v>0</v>
      </c>
      <c r="G64" s="585"/>
      <c r="H64" s="584">
        <f>'Sources and Uses Budget'!T65</f>
        <v>0</v>
      </c>
      <c r="I64" s="585"/>
      <c r="J64" s="585"/>
      <c r="K64" s="579"/>
    </row>
    <row r="65" spans="1:11" s="253" customFormat="1" ht="22.8">
      <c r="A65" s="239" t="s">
        <v>1955</v>
      </c>
      <c r="B65" s="584">
        <f>'Sources and Uses Budget'!C66</f>
        <v>0</v>
      </c>
      <c r="C65" s="585"/>
      <c r="D65" s="585"/>
      <c r="E65" s="584">
        <f>'Sources and Uses Budget'!S66</f>
        <v>0</v>
      </c>
      <c r="F65" s="585">
        <f t="shared" si="7"/>
        <v>0</v>
      </c>
      <c r="G65" s="585"/>
      <c r="H65" s="584">
        <f>'Sources and Uses Budget'!T66</f>
        <v>0</v>
      </c>
      <c r="I65" s="585"/>
      <c r="J65" s="585"/>
      <c r="K65" s="579"/>
    </row>
    <row r="66" spans="1:11" s="253" customFormat="1" ht="11.4">
      <c r="A66" s="239" t="s">
        <v>1956</v>
      </c>
      <c r="B66" s="584">
        <f>'Sources and Uses Budget'!C67</f>
        <v>0</v>
      </c>
      <c r="C66" s="585"/>
      <c r="D66" s="585"/>
      <c r="E66" s="584">
        <f>'Sources and Uses Budget'!S67</f>
        <v>0</v>
      </c>
      <c r="F66" s="585">
        <f t="shared" si="7"/>
        <v>0</v>
      </c>
      <c r="G66" s="585"/>
      <c r="H66" s="584">
        <f>'Sources and Uses Budget'!T67</f>
        <v>0</v>
      </c>
      <c r="I66" s="585"/>
      <c r="J66" s="585"/>
      <c r="K66" s="579"/>
    </row>
    <row r="67" spans="1:11" s="253" customFormat="1" ht="11.4">
      <c r="A67" s="239" t="str">
        <f>'Sources and Uses Budget'!$A68</f>
        <v>Borrower's Attorney</v>
      </c>
      <c r="B67" s="584">
        <f>'Sources and Uses Budget'!C68</f>
        <v>50000</v>
      </c>
      <c r="C67" s="585">
        <f>+B67</f>
        <v>50000</v>
      </c>
      <c r="D67" s="585"/>
      <c r="E67" s="584">
        <f>'Sources and Uses Budget'!S68</f>
        <v>50000</v>
      </c>
      <c r="F67" s="585">
        <f t="shared" si="7"/>
        <v>50000</v>
      </c>
      <c r="G67" s="585"/>
      <c r="H67" s="584">
        <f>'Sources and Uses Budget'!T68</f>
        <v>0</v>
      </c>
      <c r="I67" s="585"/>
      <c r="J67" s="585"/>
      <c r="K67" s="579"/>
    </row>
    <row r="68" spans="1:11" s="253" customFormat="1">
      <c r="A68" s="243" t="s">
        <v>1957</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30000</v>
      </c>
      <c r="C70" s="585">
        <f t="shared" ref="C70:C74" si="8">+B70</f>
        <v>30000</v>
      </c>
      <c r="D70" s="585"/>
      <c r="E70" s="586"/>
      <c r="F70" s="586"/>
      <c r="G70" s="586"/>
      <c r="H70" s="586"/>
      <c r="I70" s="586"/>
      <c r="J70" s="586"/>
      <c r="K70" s="579"/>
    </row>
    <row r="71" spans="1:11" s="253" customFormat="1" ht="11.4">
      <c r="A71" s="239" t="s">
        <v>287</v>
      </c>
      <c r="B71" s="584">
        <f>'Sources and Uses Budget'!C72</f>
        <v>0</v>
      </c>
      <c r="C71" s="585">
        <f t="shared" si="8"/>
        <v>0</v>
      </c>
      <c r="D71" s="585"/>
      <c r="E71" s="586"/>
      <c r="F71" s="586"/>
      <c r="G71" s="586"/>
      <c r="H71" s="586"/>
      <c r="I71" s="586"/>
      <c r="J71" s="586"/>
      <c r="K71" s="579"/>
    </row>
    <row r="72" spans="1:11" s="253" customFormat="1" ht="11.4">
      <c r="A72" s="456" t="s">
        <v>1239</v>
      </c>
      <c r="B72" s="584">
        <f>'Sources and Uses Budget'!C73</f>
        <v>0</v>
      </c>
      <c r="C72" s="585">
        <f t="shared" si="8"/>
        <v>0</v>
      </c>
      <c r="D72" s="585"/>
      <c r="E72" s="586"/>
      <c r="F72" s="586"/>
      <c r="G72" s="586"/>
      <c r="H72" s="586"/>
      <c r="I72" s="586"/>
      <c r="J72" s="586"/>
      <c r="K72" s="579"/>
    </row>
    <row r="73" spans="1:11" s="253" customFormat="1" ht="11.4">
      <c r="A73" s="239" t="s">
        <v>288</v>
      </c>
      <c r="B73" s="584">
        <f>'Sources and Uses Budget'!C74</f>
        <v>171211</v>
      </c>
      <c r="C73" s="585">
        <f t="shared" si="8"/>
        <v>171211</v>
      </c>
      <c r="D73" s="585"/>
      <c r="E73" s="586"/>
      <c r="F73" s="586"/>
      <c r="G73" s="586"/>
      <c r="H73" s="586"/>
      <c r="I73" s="586"/>
      <c r="J73" s="586"/>
      <c r="K73" s="579"/>
    </row>
    <row r="74" spans="1:11" s="253" customFormat="1" ht="11.4">
      <c r="A74" s="239" t="str">
        <f>'Sources and Uses Budget'!$A75</f>
        <v>Other: (Specify)</v>
      </c>
      <c r="B74" s="584">
        <f>'Sources and Uses Budget'!C75</f>
        <v>0</v>
      </c>
      <c r="C74" s="585">
        <f t="shared" si="8"/>
        <v>0</v>
      </c>
      <c r="D74" s="585"/>
      <c r="E74" s="586"/>
      <c r="F74" s="586"/>
      <c r="G74" s="586"/>
      <c r="H74" s="586"/>
      <c r="I74" s="586"/>
      <c r="J74" s="586"/>
      <c r="K74" s="579"/>
    </row>
    <row r="75" spans="1:11" s="253" customFormat="1">
      <c r="A75" s="243" t="s">
        <v>289</v>
      </c>
      <c r="B75" s="584">
        <f>'Sources and Uses Budget'!C76</f>
        <v>201211</v>
      </c>
      <c r="C75" s="584">
        <f>SUM(C70:C74)</f>
        <v>201211</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1152560</v>
      </c>
      <c r="C77" s="585">
        <f t="shared" ref="C77:C78" si="9">+B77</f>
        <v>1152560</v>
      </c>
      <c r="D77" s="585"/>
      <c r="E77" s="584">
        <f>'Sources and Uses Budget'!S78</f>
        <v>1152560</v>
      </c>
      <c r="F77" s="585">
        <f t="shared" ref="F77:F78" si="10">+E77</f>
        <v>1152560</v>
      </c>
      <c r="G77" s="585"/>
      <c r="H77" s="584">
        <f>'Sources and Uses Budget'!T78</f>
        <v>0</v>
      </c>
      <c r="I77" s="585"/>
      <c r="J77" s="585"/>
      <c r="K77" s="579"/>
    </row>
    <row r="78" spans="1:11" s="253" customFormat="1" ht="11.4">
      <c r="A78" s="239" t="s">
        <v>538</v>
      </c>
      <c r="B78" s="584">
        <f>'Sources and Uses Budget'!C79</f>
        <v>178112</v>
      </c>
      <c r="C78" s="585">
        <f t="shared" si="9"/>
        <v>178112</v>
      </c>
      <c r="D78" s="585"/>
      <c r="E78" s="584">
        <f>'Sources and Uses Budget'!S79</f>
        <v>178112</v>
      </c>
      <c r="F78" s="585">
        <f t="shared" si="10"/>
        <v>178112</v>
      </c>
      <c r="G78" s="585"/>
      <c r="H78" s="584">
        <f>'Sources and Uses Budget'!T79</f>
        <v>0</v>
      </c>
      <c r="I78" s="585"/>
      <c r="J78" s="585"/>
      <c r="K78" s="579"/>
    </row>
    <row r="79" spans="1:11" s="253" customFormat="1">
      <c r="A79" s="243" t="s">
        <v>1742</v>
      </c>
      <c r="B79" s="584">
        <f>'Sources and Uses Budget'!C80</f>
        <v>1330672</v>
      </c>
      <c r="C79" s="667">
        <f>SUM(C77:C78)</f>
        <v>1330672</v>
      </c>
      <c r="D79" s="667">
        <f>SUM(D77:D78)</f>
        <v>0</v>
      </c>
      <c r="E79" s="584">
        <f>'Sources and Uses Budget'!S80</f>
        <v>1330672</v>
      </c>
      <c r="F79" s="667">
        <f>SUM(F77:F78)</f>
        <v>1330672</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89480</v>
      </c>
      <c r="C81" s="585">
        <f t="shared" ref="C81:C93" si="11">+B81</f>
        <v>89480</v>
      </c>
      <c r="D81" s="585"/>
      <c r="E81" s="586"/>
      <c r="F81" s="586"/>
      <c r="G81" s="586"/>
      <c r="H81" s="586"/>
      <c r="I81" s="586"/>
      <c r="J81" s="586"/>
      <c r="K81" s="579"/>
    </row>
    <row r="82" spans="1:11" s="253" customFormat="1" ht="11.4">
      <c r="A82" s="239" t="s">
        <v>516</v>
      </c>
      <c r="B82" s="584">
        <f>'Sources and Uses Budget'!C83</f>
        <v>50000</v>
      </c>
      <c r="C82" s="585">
        <f t="shared" si="11"/>
        <v>50000</v>
      </c>
      <c r="D82" s="585"/>
      <c r="E82" s="584">
        <f>'Sources and Uses Budget'!S83</f>
        <v>50000</v>
      </c>
      <c r="F82" s="585">
        <f t="shared" ref="F82:F85" si="12">+E82</f>
        <v>50000</v>
      </c>
      <c r="G82" s="585"/>
      <c r="H82" s="584">
        <f>'Sources and Uses Budget'!T83</f>
        <v>0</v>
      </c>
      <c r="I82" s="585"/>
      <c r="J82" s="585"/>
      <c r="K82" s="579"/>
    </row>
    <row r="83" spans="1:11" s="253" customFormat="1" ht="11.4">
      <c r="A83" s="239" t="s">
        <v>517</v>
      </c>
      <c r="B83" s="584">
        <f>'Sources and Uses Budget'!C84</f>
        <v>1042543</v>
      </c>
      <c r="C83" s="585">
        <f t="shared" si="11"/>
        <v>1042543</v>
      </c>
      <c r="D83" s="585"/>
      <c r="E83" s="584">
        <f>'Sources and Uses Budget'!S84</f>
        <v>1042543</v>
      </c>
      <c r="F83" s="585">
        <f t="shared" si="12"/>
        <v>1042543</v>
      </c>
      <c r="G83" s="585"/>
      <c r="H83" s="584">
        <f>'Sources and Uses Budget'!T84</f>
        <v>0</v>
      </c>
      <c r="I83" s="585"/>
      <c r="J83" s="585"/>
      <c r="K83" s="579"/>
    </row>
    <row r="84" spans="1:11" s="253" customFormat="1" ht="11.4">
      <c r="A84" s="239" t="s">
        <v>518</v>
      </c>
      <c r="B84" s="584">
        <f>'Sources and Uses Budget'!C85</f>
        <v>359107</v>
      </c>
      <c r="C84" s="585">
        <f t="shared" si="11"/>
        <v>359107</v>
      </c>
      <c r="D84" s="585"/>
      <c r="E84" s="584">
        <f>'Sources and Uses Budget'!S85</f>
        <v>359107</v>
      </c>
      <c r="F84" s="585">
        <f t="shared" si="12"/>
        <v>359107</v>
      </c>
      <c r="G84" s="585"/>
      <c r="H84" s="584">
        <f>'Sources and Uses Budget'!T85</f>
        <v>0</v>
      </c>
      <c r="I84" s="585"/>
      <c r="J84" s="585"/>
      <c r="K84" s="579"/>
    </row>
    <row r="85" spans="1:11" s="253" customFormat="1" ht="11.4">
      <c r="A85" s="239" t="s">
        <v>519</v>
      </c>
      <c r="B85" s="584">
        <f>'Sources and Uses Budget'!C86</f>
        <v>0</v>
      </c>
      <c r="C85" s="585">
        <f t="shared" si="11"/>
        <v>0</v>
      </c>
      <c r="D85" s="585"/>
      <c r="E85" s="584">
        <f>'Sources and Uses Budget'!S86</f>
        <v>0</v>
      </c>
      <c r="F85" s="585">
        <f t="shared" si="12"/>
        <v>0</v>
      </c>
      <c r="G85" s="585"/>
      <c r="H85" s="584">
        <f>'Sources and Uses Budget'!T86</f>
        <v>0</v>
      </c>
      <c r="I85" s="585"/>
      <c r="J85" s="585"/>
      <c r="K85" s="579"/>
    </row>
    <row r="86" spans="1:11" s="253" customFormat="1" ht="11.4">
      <c r="A86" s="239" t="s">
        <v>520</v>
      </c>
      <c r="B86" s="584">
        <f>'Sources and Uses Budget'!C87</f>
        <v>56107</v>
      </c>
      <c r="C86" s="585">
        <f t="shared" si="11"/>
        <v>56107</v>
      </c>
      <c r="D86" s="585"/>
      <c r="E86" s="586"/>
      <c r="F86" s="586"/>
      <c r="G86" s="586"/>
      <c r="H86" s="586"/>
      <c r="I86" s="586"/>
      <c r="J86" s="586"/>
      <c r="K86" s="579"/>
    </row>
    <row r="87" spans="1:11" s="253" customFormat="1" ht="11.4">
      <c r="A87" s="239" t="s">
        <v>521</v>
      </c>
      <c r="B87" s="584">
        <f>'Sources and Uses Budget'!C88</f>
        <v>100000</v>
      </c>
      <c r="C87" s="585">
        <f t="shared" si="11"/>
        <v>100000</v>
      </c>
      <c r="D87" s="585"/>
      <c r="E87" s="584">
        <f>'Sources and Uses Budget'!S88</f>
        <v>100000</v>
      </c>
      <c r="F87" s="585">
        <f t="shared" ref="F87:F93" si="13">+E87</f>
        <v>100000</v>
      </c>
      <c r="G87" s="585"/>
      <c r="H87" s="584">
        <f>'Sources and Uses Budget'!T88</f>
        <v>0</v>
      </c>
      <c r="I87" s="585"/>
      <c r="J87" s="585"/>
      <c r="K87" s="579"/>
    </row>
    <row r="88" spans="1:11" s="253" customFormat="1" ht="11.4">
      <c r="A88" s="239" t="s">
        <v>522</v>
      </c>
      <c r="B88" s="584">
        <f>'Sources and Uses Budget'!C89</f>
        <v>10000</v>
      </c>
      <c r="C88" s="585">
        <f t="shared" si="11"/>
        <v>10000</v>
      </c>
      <c r="D88" s="585"/>
      <c r="E88" s="584">
        <f>'Sources and Uses Budget'!S89</f>
        <v>10000</v>
      </c>
      <c r="F88" s="585">
        <f t="shared" si="13"/>
        <v>10000</v>
      </c>
      <c r="G88" s="585"/>
      <c r="H88" s="584">
        <f>'Sources and Uses Budget'!T89</f>
        <v>0</v>
      </c>
      <c r="I88" s="585"/>
      <c r="J88" s="585"/>
      <c r="K88" s="579"/>
    </row>
    <row r="89" spans="1:11" s="253" customFormat="1" ht="11.4">
      <c r="A89" s="239" t="s">
        <v>1315</v>
      </c>
      <c r="B89" s="584">
        <f>'Sources and Uses Budget'!C90</f>
        <v>45000</v>
      </c>
      <c r="C89" s="585">
        <f t="shared" si="11"/>
        <v>45000</v>
      </c>
      <c r="D89" s="585"/>
      <c r="E89" s="584">
        <f>'Sources and Uses Budget'!S90</f>
        <v>45000</v>
      </c>
      <c r="F89" s="585">
        <f t="shared" si="13"/>
        <v>45000</v>
      </c>
      <c r="G89" s="585"/>
      <c r="H89" s="584">
        <f>'Sources and Uses Budget'!T90</f>
        <v>0</v>
      </c>
      <c r="I89" s="585"/>
      <c r="J89" s="585"/>
      <c r="K89" s="579"/>
    </row>
    <row r="90" spans="1:11" s="253" customFormat="1" ht="11.4">
      <c r="A90" s="239" t="s">
        <v>1740</v>
      </c>
      <c r="B90" s="584">
        <f>'Sources and Uses Budget'!C91</f>
        <v>7500</v>
      </c>
      <c r="C90" s="585">
        <f t="shared" si="11"/>
        <v>7500</v>
      </c>
      <c r="D90" s="585"/>
      <c r="E90" s="584">
        <f>'Sources and Uses Budget'!S91</f>
        <v>7500</v>
      </c>
      <c r="F90" s="585">
        <f t="shared" si="13"/>
        <v>7500</v>
      </c>
      <c r="G90" s="585"/>
      <c r="H90" s="584">
        <f>'Sources and Uses Budget'!T91</f>
        <v>0</v>
      </c>
      <c r="I90" s="585"/>
      <c r="J90" s="585"/>
      <c r="K90" s="579"/>
    </row>
    <row r="91" spans="1:11" s="253" customFormat="1" ht="11.4">
      <c r="A91" s="239" t="str">
        <f>'Sources and Uses Budget'!$A92</f>
        <v>PG&amp;E Fees</v>
      </c>
      <c r="B91" s="584">
        <f>'Sources and Uses Budget'!C92</f>
        <v>175000</v>
      </c>
      <c r="C91" s="585">
        <f t="shared" si="11"/>
        <v>175000</v>
      </c>
      <c r="D91" s="585"/>
      <c r="E91" s="584">
        <f>'Sources and Uses Budget'!S92</f>
        <v>175000</v>
      </c>
      <c r="F91" s="585">
        <f t="shared" si="13"/>
        <v>175000</v>
      </c>
      <c r="G91" s="585"/>
      <c r="H91" s="584">
        <f>'Sources and Uses Budget'!T92</f>
        <v>0</v>
      </c>
      <c r="I91" s="585"/>
      <c r="J91" s="585"/>
      <c r="K91" s="579"/>
    </row>
    <row r="92" spans="1:11" s="253" customFormat="1" ht="11.4">
      <c r="A92" s="239" t="str">
        <f>'Sources and Uses Budget'!$A93</f>
        <v>Other: (Specify)</v>
      </c>
      <c r="B92" s="584">
        <f>'Sources and Uses Budget'!C93</f>
        <v>0</v>
      </c>
      <c r="C92" s="585">
        <f t="shared" si="11"/>
        <v>0</v>
      </c>
      <c r="D92" s="585"/>
      <c r="E92" s="584">
        <f>'Sources and Uses Budget'!S93</f>
        <v>0</v>
      </c>
      <c r="F92" s="585">
        <f t="shared" si="13"/>
        <v>0</v>
      </c>
      <c r="G92" s="585"/>
      <c r="H92" s="584">
        <f>'Sources and Uses Budget'!T93</f>
        <v>0</v>
      </c>
      <c r="I92" s="585"/>
      <c r="J92" s="585"/>
      <c r="K92" s="579"/>
    </row>
    <row r="93" spans="1:11" s="253" customFormat="1" ht="11.4">
      <c r="A93" s="239" t="str">
        <f>'Sources and Uses Budget'!$A94</f>
        <v>Other: (Specify)</v>
      </c>
      <c r="B93" s="584">
        <f>'Sources and Uses Budget'!C94</f>
        <v>0</v>
      </c>
      <c r="C93" s="585">
        <f t="shared" si="11"/>
        <v>0</v>
      </c>
      <c r="D93" s="585"/>
      <c r="E93" s="584">
        <f>'Sources and Uses Budget'!S94</f>
        <v>0</v>
      </c>
      <c r="F93" s="585">
        <f t="shared" si="13"/>
        <v>0</v>
      </c>
      <c r="G93" s="585"/>
      <c r="H93" s="584">
        <f>'Sources and Uses Budget'!T94</f>
        <v>0</v>
      </c>
      <c r="I93" s="585"/>
      <c r="J93" s="585"/>
      <c r="K93" s="579"/>
    </row>
    <row r="94" spans="1:11" s="253" customFormat="1">
      <c r="A94" s="243" t="s">
        <v>523</v>
      </c>
      <c r="B94" s="584">
        <f>'Sources and Uses Budget'!C95</f>
        <v>1934737</v>
      </c>
      <c r="C94" s="584">
        <f>SUM(C81:C93)</f>
        <v>1934737</v>
      </c>
      <c r="D94" s="584">
        <f>SUM(D81:D93)</f>
        <v>0</v>
      </c>
      <c r="E94" s="584">
        <f>'Sources and Uses Budget'!S95</f>
        <v>1789150</v>
      </c>
      <c r="F94" s="587">
        <f>SUM(F82:F85,F87:F93)</f>
        <v>1789150</v>
      </c>
      <c r="G94" s="587">
        <f>SUM(G82:G85,G87:G93)</f>
        <v>0</v>
      </c>
      <c r="H94" s="584">
        <f>'Sources and Uses Budget'!T95</f>
        <v>0</v>
      </c>
      <c r="I94" s="584">
        <f>SUM(I82:I85,I87:I93)</f>
        <v>0</v>
      </c>
      <c r="J94" s="584">
        <f>SUM(J82:J85,J87:J93)</f>
        <v>0</v>
      </c>
      <c r="K94" s="579"/>
    </row>
    <row r="95" spans="1:11" s="253" customFormat="1">
      <c r="A95" s="243" t="s">
        <v>1356</v>
      </c>
      <c r="B95" s="584">
        <f>'Sources and Uses Budget'!C96</f>
        <v>29465267</v>
      </c>
      <c r="C95" s="584">
        <f>SUM(C61+C68+C75+C79+C94)</f>
        <v>29465267</v>
      </c>
      <c r="D95" s="584">
        <f>SUM(D61+D68+D75+D79+D94)</f>
        <v>0</v>
      </c>
      <c r="E95" s="584">
        <f>'Sources and Uses Budget'!S96</f>
        <v>28453469</v>
      </c>
      <c r="F95" s="587">
        <f>SUM(+F61+F68+F79+F94)</f>
        <v>28453469</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31965267</v>
      </c>
      <c r="C103" s="587">
        <f>SUM(C95+C102)</f>
        <v>31965267</v>
      </c>
      <c r="D103" s="587">
        <f>SUM(D95+D102)</f>
        <v>0</v>
      </c>
      <c r="E103" s="584">
        <f>'Sources and Uses Budget'!S104</f>
        <v>30953469</v>
      </c>
      <c r="F103" s="587">
        <f>F95+F102</f>
        <v>30953469</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30953469</v>
      </c>
      <c r="F105" s="587">
        <f>F103+F104</f>
        <v>30953469</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2" workbookViewId="0">
      <selection activeCell="E275" sqref="E275:AD277"/>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53" t="s">
        <v>846</v>
      </c>
      <c r="B1" s="1653"/>
      <c r="C1" s="1653"/>
      <c r="D1" s="1653"/>
      <c r="E1" s="1653"/>
      <c r="F1" s="1653"/>
      <c r="G1" s="1653"/>
      <c r="H1" s="1653"/>
      <c r="I1" s="1653"/>
      <c r="J1" s="1653"/>
      <c r="K1" s="1653"/>
      <c r="L1" s="1653"/>
      <c r="M1" s="1653"/>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c r="AL1" s="1653"/>
      <c r="AM1" s="1653"/>
    </row>
    <row r="2" spans="1:43" s="5" customFormat="1" ht="12.75" customHeight="1" thickBot="1">
      <c r="A2" s="1654"/>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748" t="s">
        <v>364</v>
      </c>
      <c r="AF4" s="1748"/>
      <c r="AG4" s="1748"/>
      <c r="AH4" s="1748"/>
      <c r="AI4" s="1748"/>
      <c r="AJ4" s="1748"/>
      <c r="AK4" s="1748"/>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36" t="s">
        <v>854</v>
      </c>
      <c r="AG6" s="1736"/>
      <c r="AH6" s="1736"/>
      <c r="AI6" s="1736"/>
      <c r="AJ6" s="1736"/>
      <c r="AK6" s="1736"/>
      <c r="AL6" s="173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73" t="s">
        <v>2419</v>
      </c>
      <c r="C8" s="1673"/>
      <c r="D8" s="1673"/>
      <c r="E8" s="1673"/>
      <c r="F8" s="1673"/>
      <c r="G8" s="1673"/>
      <c r="H8" s="1673"/>
      <c r="I8" s="1673"/>
      <c r="J8" s="1673"/>
      <c r="K8" s="1673"/>
      <c r="L8" s="1673"/>
      <c r="M8" s="1673"/>
      <c r="N8" s="1673"/>
      <c r="O8" s="1673"/>
      <c r="P8" s="1673"/>
      <c r="Q8" s="1673"/>
      <c r="R8" s="1673"/>
      <c r="S8" s="1673"/>
      <c r="T8" s="1673"/>
      <c r="U8" s="1673"/>
      <c r="V8" s="1673"/>
      <c r="W8" s="1673"/>
      <c r="X8" s="1673"/>
      <c r="Y8" s="1673"/>
      <c r="Z8" s="1673"/>
      <c r="AA8" s="1673"/>
      <c r="AB8" s="1673"/>
      <c r="AC8" s="167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673" t="s">
        <v>1243</v>
      </c>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34" t="s">
        <v>124</v>
      </c>
      <c r="AC13" s="183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673" t="s">
        <v>1119</v>
      </c>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700" t="s">
        <v>2207</v>
      </c>
      <c r="C20" s="1700"/>
      <c r="D20" s="1700"/>
      <c r="E20" s="1700"/>
      <c r="F20" s="1700"/>
      <c r="G20" s="1700"/>
      <c r="H20" s="1700"/>
      <c r="I20" s="1700"/>
      <c r="J20" s="1700"/>
      <c r="K20" s="1700"/>
      <c r="L20" s="1700"/>
      <c r="M20" s="1700"/>
      <c r="N20" s="1700"/>
      <c r="O20" s="1700"/>
      <c r="P20" s="1700"/>
      <c r="Q20" s="1700"/>
      <c r="R20" s="1700"/>
      <c r="S20" s="1700"/>
      <c r="T20" s="1700"/>
      <c r="U20" s="1700"/>
      <c r="V20" s="1700"/>
      <c r="W20" s="1700"/>
      <c r="X20" s="1700"/>
      <c r="Y20" s="1700"/>
      <c r="Z20" s="1700"/>
      <c r="AA20" s="1700"/>
      <c r="AB20" s="1700"/>
      <c r="AC20" s="1700"/>
      <c r="AD20" s="1700"/>
      <c r="AE20" s="1700"/>
      <c r="AF20" s="1700"/>
      <c r="AG20" s="1700"/>
      <c r="AH20" s="1700"/>
      <c r="AI20" s="1700"/>
      <c r="AJ20" s="1700"/>
      <c r="AK20" s="1700"/>
      <c r="AL20" s="103"/>
      <c r="AM20" s="27"/>
      <c r="AN20" s="670"/>
    </row>
    <row r="21" spans="1:42" s="5" customFormat="1" ht="12.75" customHeight="1">
      <c r="A21" s="27"/>
      <c r="B21" s="1700"/>
      <c r="C21" s="1700"/>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c r="AJ21" s="1700"/>
      <c r="AK21" s="1700"/>
      <c r="AL21" s="103"/>
      <c r="AM21" s="27"/>
      <c r="AN21" s="670"/>
      <c r="AP21" s="340"/>
    </row>
    <row r="22" spans="1:42" s="5" customFormat="1" ht="12.75" customHeight="1">
      <c r="A22" s="27"/>
      <c r="B22" s="1700"/>
      <c r="C22" s="1700"/>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1700"/>
      <c r="AB22" s="1700"/>
      <c r="AC22" s="1700"/>
      <c r="AD22" s="1700"/>
      <c r="AE22" s="1700"/>
      <c r="AF22" s="1700"/>
      <c r="AG22" s="1700"/>
      <c r="AH22" s="1700"/>
      <c r="AI22" s="1700"/>
      <c r="AJ22" s="1700"/>
      <c r="AK22" s="1700"/>
      <c r="AL22" s="103"/>
      <c r="AM22" s="27"/>
      <c r="AN22" s="670"/>
    </row>
    <row r="23" spans="1:42" s="4" customFormat="1" ht="12.75" customHeight="1">
      <c r="A23" s="27"/>
      <c r="B23" s="1700"/>
      <c r="C23" s="1700"/>
      <c r="D23" s="1700"/>
      <c r="E23" s="1700"/>
      <c r="F23" s="1700"/>
      <c r="G23" s="1700"/>
      <c r="H23" s="1700"/>
      <c r="I23" s="1700"/>
      <c r="J23" s="1700"/>
      <c r="K23" s="1700"/>
      <c r="L23" s="1700"/>
      <c r="M23" s="1700"/>
      <c r="N23" s="1700"/>
      <c r="O23" s="1700"/>
      <c r="P23" s="1700"/>
      <c r="Q23" s="1700"/>
      <c r="R23" s="1700"/>
      <c r="S23" s="1700"/>
      <c r="T23" s="1700"/>
      <c r="U23" s="1700"/>
      <c r="V23" s="1700"/>
      <c r="W23" s="1700"/>
      <c r="X23" s="1700"/>
      <c r="Y23" s="1700"/>
      <c r="Z23" s="1700"/>
      <c r="AA23" s="1700"/>
      <c r="AB23" s="1700"/>
      <c r="AC23" s="1700"/>
      <c r="AD23" s="1700"/>
      <c r="AE23" s="1700"/>
      <c r="AF23" s="1700"/>
      <c r="AG23" s="1700"/>
      <c r="AH23" s="1700"/>
      <c r="AI23" s="1700"/>
      <c r="AJ23" s="1700"/>
      <c r="AK23" s="1700"/>
      <c r="AL23" s="103"/>
      <c r="AM23" s="27"/>
      <c r="AN23" s="281"/>
    </row>
    <row r="24" spans="1:42" s="4" customFormat="1" ht="12.75" customHeight="1">
      <c r="A24" s="27"/>
      <c r="B24" s="1700"/>
      <c r="C24" s="1700"/>
      <c r="D24" s="1700"/>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1700"/>
      <c r="AL24" s="103"/>
      <c r="AM24" s="27"/>
      <c r="AN24" s="672"/>
      <c r="AO24" s="91"/>
    </row>
    <row r="25" spans="1:42" s="4" customFormat="1" ht="12.75" customHeight="1">
      <c r="A25" s="27"/>
      <c r="B25" s="1700"/>
      <c r="C25" s="1700"/>
      <c r="D25" s="1700"/>
      <c r="E25" s="1700"/>
      <c r="F25" s="1700"/>
      <c r="G25" s="1700"/>
      <c r="H25" s="1700"/>
      <c r="I25" s="1700"/>
      <c r="J25" s="1700"/>
      <c r="K25" s="1700"/>
      <c r="L25" s="1700"/>
      <c r="M25" s="1700"/>
      <c r="N25" s="1700"/>
      <c r="O25" s="1700"/>
      <c r="P25" s="1700"/>
      <c r="Q25" s="1700"/>
      <c r="R25" s="1700"/>
      <c r="S25" s="1700"/>
      <c r="T25" s="1700"/>
      <c r="U25" s="1700"/>
      <c r="V25" s="1700"/>
      <c r="W25" s="1700"/>
      <c r="X25" s="1700"/>
      <c r="Y25" s="1700"/>
      <c r="Z25" s="1700"/>
      <c r="AA25" s="1700"/>
      <c r="AB25" s="1700"/>
      <c r="AC25" s="1700"/>
      <c r="AD25" s="1700"/>
      <c r="AE25" s="1700"/>
      <c r="AF25" s="1700"/>
      <c r="AG25" s="1700"/>
      <c r="AH25" s="1700"/>
      <c r="AI25" s="1700"/>
      <c r="AJ25" s="1700"/>
      <c r="AK25" s="1700"/>
      <c r="AL25" s="103"/>
      <c r="AM25" s="27"/>
      <c r="AN25" s="672"/>
    </row>
    <row r="26" spans="1:42" s="4" customFormat="1" ht="12.75" customHeight="1">
      <c r="A26" s="27"/>
      <c r="B26" s="1700"/>
      <c r="C26" s="1700"/>
      <c r="D26" s="1700"/>
      <c r="E26" s="1700"/>
      <c r="F26" s="1700"/>
      <c r="G26" s="1700"/>
      <c r="H26" s="1700"/>
      <c r="I26" s="1700"/>
      <c r="J26" s="1700"/>
      <c r="K26" s="1700"/>
      <c r="L26" s="1700"/>
      <c r="M26" s="1700"/>
      <c r="N26" s="1700"/>
      <c r="O26" s="1700"/>
      <c r="P26" s="1700"/>
      <c r="Q26" s="1700"/>
      <c r="R26" s="1700"/>
      <c r="S26" s="1700"/>
      <c r="T26" s="1700"/>
      <c r="U26" s="1700"/>
      <c r="V26" s="1700"/>
      <c r="W26" s="1700"/>
      <c r="X26" s="1700"/>
      <c r="Y26" s="1700"/>
      <c r="Z26" s="1700"/>
      <c r="AA26" s="1700"/>
      <c r="AB26" s="1700"/>
      <c r="AC26" s="1700"/>
      <c r="AD26" s="1700"/>
      <c r="AE26" s="1700"/>
      <c r="AF26" s="1700"/>
      <c r="AG26" s="1700"/>
      <c r="AH26" s="1700"/>
      <c r="AI26" s="1700"/>
      <c r="AJ26" s="1700"/>
      <c r="AK26" s="1700"/>
      <c r="AL26" s="103"/>
      <c r="AM26" s="27"/>
      <c r="AN26" s="281"/>
    </row>
    <row r="27" spans="1:42" s="4" customFormat="1" ht="12.75" customHeight="1">
      <c r="A27" s="27"/>
      <c r="B27" s="1700"/>
      <c r="C27" s="1700"/>
      <c r="D27" s="1700"/>
      <c r="E27" s="1700"/>
      <c r="F27" s="1700"/>
      <c r="G27" s="1700"/>
      <c r="H27" s="1700"/>
      <c r="I27" s="1700"/>
      <c r="J27" s="1700"/>
      <c r="K27" s="1700"/>
      <c r="L27" s="1700"/>
      <c r="M27" s="1700"/>
      <c r="N27" s="1700"/>
      <c r="O27" s="1700"/>
      <c r="P27" s="1700"/>
      <c r="Q27" s="1700"/>
      <c r="R27" s="1700"/>
      <c r="S27" s="1700"/>
      <c r="T27" s="1700"/>
      <c r="U27" s="1700"/>
      <c r="V27" s="1700"/>
      <c r="W27" s="1700"/>
      <c r="X27" s="1700"/>
      <c r="Y27" s="1700"/>
      <c r="Z27" s="1700"/>
      <c r="AA27" s="1700"/>
      <c r="AB27" s="1700"/>
      <c r="AC27" s="1700"/>
      <c r="AD27" s="1700"/>
      <c r="AE27" s="1700"/>
      <c r="AF27" s="1700"/>
      <c r="AG27" s="1700"/>
      <c r="AH27" s="1700"/>
      <c r="AI27" s="1700"/>
      <c r="AJ27" s="1700"/>
      <c r="AK27" s="1700"/>
      <c r="AL27" s="103"/>
      <c r="AM27" s="27"/>
      <c r="AN27" s="614"/>
    </row>
    <row r="28" spans="1:42" s="4" customFormat="1" ht="12.75" customHeight="1">
      <c r="A28" s="27"/>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1700"/>
      <c r="AA28" s="1700"/>
      <c r="AB28" s="1700"/>
      <c r="AC28" s="1700"/>
      <c r="AD28" s="1700"/>
      <c r="AE28" s="1700"/>
      <c r="AF28" s="1700"/>
      <c r="AG28" s="1700"/>
      <c r="AH28" s="1700"/>
      <c r="AI28" s="1700"/>
      <c r="AJ28" s="1700"/>
      <c r="AK28" s="1700"/>
      <c r="AL28" s="103"/>
      <c r="AM28" s="27"/>
      <c r="AN28" s="614"/>
    </row>
    <row r="29" spans="1:42" s="4" customFormat="1" ht="31.65" customHeight="1">
      <c r="A29" s="27"/>
      <c r="B29" s="1700"/>
      <c r="C29" s="1700"/>
      <c r="D29" s="1700"/>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0"/>
      <c r="AE29" s="1700"/>
      <c r="AF29" s="1700"/>
      <c r="AG29" s="1700"/>
      <c r="AH29" s="1700"/>
      <c r="AI29" s="1700"/>
      <c r="AJ29" s="1700"/>
      <c r="AK29" s="1700"/>
      <c r="AL29" s="103"/>
      <c r="AM29" s="27"/>
      <c r="AN29" s="614"/>
    </row>
    <row r="30" spans="1:42" s="4" customFormat="1" ht="12.75" customHeight="1">
      <c r="A30" s="5"/>
      <c r="B30" s="1839"/>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9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9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6" t="s">
        <v>61</v>
      </c>
      <c r="AG33" s="1736"/>
      <c r="AH33" s="1736"/>
      <c r="AI33" s="1736"/>
      <c r="AJ33" s="1736"/>
      <c r="AK33" s="1736"/>
      <c r="AL33" s="173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43" t="str">
        <f>Application!AA329</f>
        <v>Danco Property Management</v>
      </c>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73" t="s">
        <v>1247</v>
      </c>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73" t="s">
        <v>124</v>
      </c>
      <c r="AA40" s="1673"/>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73" t="s">
        <v>1119</v>
      </c>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167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9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95"/>
      <c r="AL47" s="319"/>
      <c r="AM47" s="90"/>
      <c r="AN47" s="281"/>
    </row>
    <row r="48" spans="1:42" s="4" customFormat="1" ht="12.75" customHeight="1">
      <c r="A48" s="5"/>
      <c r="B48" s="42"/>
      <c r="R48" s="5"/>
      <c r="S48" s="42"/>
      <c r="AN48" s="281"/>
    </row>
    <row r="49" spans="1:46" s="4" customFormat="1" ht="12.75" customHeight="1">
      <c r="B49" s="1700" t="s">
        <v>1470</v>
      </c>
      <c r="C49" s="1700"/>
      <c r="D49" s="1700"/>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0"/>
      <c r="AD49" s="1700"/>
      <c r="AE49" s="1700"/>
      <c r="AF49" s="1700"/>
      <c r="AG49" s="1700"/>
      <c r="AH49" s="1700"/>
      <c r="AI49" s="1700"/>
      <c r="AJ49" s="1700"/>
      <c r="AK49" s="1700"/>
      <c r="AL49" s="103"/>
      <c r="AM49" s="27"/>
      <c r="AN49" s="281"/>
    </row>
    <row r="50" spans="1:46" s="4" customFormat="1" ht="12.75" customHeight="1">
      <c r="A50" s="26"/>
      <c r="B50" s="1700"/>
      <c r="C50" s="1700"/>
      <c r="D50" s="1700"/>
      <c r="E50" s="1700"/>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c r="AI50" s="1700"/>
      <c r="AJ50" s="1700"/>
      <c r="AK50" s="1700"/>
      <c r="AL50" s="103"/>
      <c r="AM50" s="27"/>
      <c r="AN50" s="281"/>
    </row>
    <row r="51" spans="1:46" s="4" customFormat="1" ht="12.75" customHeight="1">
      <c r="A51" s="26"/>
      <c r="B51" s="1700"/>
      <c r="C51" s="1700"/>
      <c r="D51" s="1700"/>
      <c r="E51" s="1700"/>
      <c r="F51" s="1700"/>
      <c r="G51" s="1700"/>
      <c r="H51" s="1700"/>
      <c r="I51" s="1700"/>
      <c r="J51" s="1700"/>
      <c r="K51" s="1700"/>
      <c r="L51" s="1700"/>
      <c r="M51" s="1700"/>
      <c r="N51" s="1700"/>
      <c r="O51" s="1700"/>
      <c r="P51" s="1700"/>
      <c r="Q51" s="1700"/>
      <c r="R51" s="1700"/>
      <c r="S51" s="1700"/>
      <c r="T51" s="1700"/>
      <c r="U51" s="1700"/>
      <c r="V51" s="1700"/>
      <c r="W51" s="1700"/>
      <c r="X51" s="1700"/>
      <c r="Y51" s="1700"/>
      <c r="Z51" s="1700"/>
      <c r="AA51" s="1700"/>
      <c r="AB51" s="1700"/>
      <c r="AC51" s="1700"/>
      <c r="AD51" s="1700"/>
      <c r="AE51" s="1700"/>
      <c r="AF51" s="1700"/>
      <c r="AG51" s="1700"/>
      <c r="AH51" s="1700"/>
      <c r="AI51" s="1700"/>
      <c r="AJ51" s="1700"/>
      <c r="AK51" s="1700"/>
      <c r="AL51" s="103"/>
      <c r="AM51" s="27"/>
      <c r="AN51" s="281"/>
    </row>
    <row r="52" spans="1:46" s="4" customFormat="1" ht="12.75" customHeight="1">
      <c r="A52" s="26"/>
      <c r="B52" s="1700"/>
      <c r="C52" s="1700"/>
      <c r="D52" s="1700"/>
      <c r="E52" s="1700"/>
      <c r="F52" s="1700"/>
      <c r="G52" s="1700"/>
      <c r="H52" s="1700"/>
      <c r="I52" s="1700"/>
      <c r="J52" s="1700"/>
      <c r="K52" s="1700"/>
      <c r="L52" s="1700"/>
      <c r="M52" s="1700"/>
      <c r="N52" s="1700"/>
      <c r="O52" s="1700"/>
      <c r="P52" s="1700"/>
      <c r="Q52" s="1700"/>
      <c r="R52" s="1700"/>
      <c r="S52" s="1700"/>
      <c r="T52" s="1700"/>
      <c r="U52" s="1700"/>
      <c r="V52" s="1700"/>
      <c r="W52" s="1700"/>
      <c r="X52" s="1700"/>
      <c r="Y52" s="1700"/>
      <c r="Z52" s="1700"/>
      <c r="AA52" s="1700"/>
      <c r="AB52" s="1700"/>
      <c r="AC52" s="1700"/>
      <c r="AD52" s="1700"/>
      <c r="AE52" s="1700"/>
      <c r="AF52" s="1700"/>
      <c r="AG52" s="1700"/>
      <c r="AH52" s="1700"/>
      <c r="AI52" s="1700"/>
      <c r="AJ52" s="1700"/>
      <c r="AK52" s="1700"/>
      <c r="AL52" s="103"/>
      <c r="AM52" s="27"/>
      <c r="AN52" s="281"/>
    </row>
    <row r="53" spans="1:46" s="4" customFormat="1" ht="12.75" customHeight="1">
      <c r="A53" s="26"/>
      <c r="B53" s="1700"/>
      <c r="C53" s="1700"/>
      <c r="D53" s="1700"/>
      <c r="E53" s="1700"/>
      <c r="F53" s="1700"/>
      <c r="G53" s="1700"/>
      <c r="H53" s="1700"/>
      <c r="I53" s="1700"/>
      <c r="J53" s="1700"/>
      <c r="K53" s="1700"/>
      <c r="L53" s="1700"/>
      <c r="M53" s="1700"/>
      <c r="N53" s="1700"/>
      <c r="O53" s="1700"/>
      <c r="P53" s="1700"/>
      <c r="Q53" s="1700"/>
      <c r="R53" s="1700"/>
      <c r="S53" s="1700"/>
      <c r="T53" s="1700"/>
      <c r="U53" s="1700"/>
      <c r="V53" s="1700"/>
      <c r="W53" s="1700"/>
      <c r="X53" s="1700"/>
      <c r="Y53" s="1700"/>
      <c r="Z53" s="1700"/>
      <c r="AA53" s="1700"/>
      <c r="AB53" s="1700"/>
      <c r="AC53" s="1700"/>
      <c r="AD53" s="1700"/>
      <c r="AE53" s="1700"/>
      <c r="AF53" s="1700"/>
      <c r="AG53" s="1700"/>
      <c r="AH53" s="1700"/>
      <c r="AI53" s="1700"/>
      <c r="AJ53" s="1700"/>
      <c r="AK53" s="1700"/>
      <c r="AL53" s="103"/>
      <c r="AM53" s="27"/>
      <c r="AN53" s="281"/>
    </row>
    <row r="54" spans="1:46" s="4" customFormat="1" ht="12.75" customHeight="1">
      <c r="A54" s="26"/>
      <c r="B54" s="1700"/>
      <c r="C54" s="1700"/>
      <c r="D54" s="1700"/>
      <c r="E54" s="1700"/>
      <c r="F54" s="1700"/>
      <c r="G54" s="1700"/>
      <c r="H54" s="1700"/>
      <c r="I54" s="1700"/>
      <c r="J54" s="1700"/>
      <c r="K54" s="1700"/>
      <c r="L54" s="1700"/>
      <c r="M54" s="1700"/>
      <c r="N54" s="1700"/>
      <c r="O54" s="1700"/>
      <c r="P54" s="1700"/>
      <c r="Q54" s="1700"/>
      <c r="R54" s="1700"/>
      <c r="S54" s="1700"/>
      <c r="T54" s="1700"/>
      <c r="U54" s="1700"/>
      <c r="V54" s="1700"/>
      <c r="W54" s="1700"/>
      <c r="X54" s="1700"/>
      <c r="Y54" s="1700"/>
      <c r="Z54" s="1700"/>
      <c r="AA54" s="1700"/>
      <c r="AB54" s="1700"/>
      <c r="AC54" s="1700"/>
      <c r="AD54" s="1700"/>
      <c r="AE54" s="1700"/>
      <c r="AF54" s="1700"/>
      <c r="AG54" s="1700"/>
      <c r="AH54" s="1700"/>
      <c r="AI54" s="1700"/>
      <c r="AJ54" s="1700"/>
      <c r="AK54" s="1700"/>
      <c r="AL54" s="103"/>
      <c r="AM54" s="27"/>
      <c r="AN54" s="281"/>
    </row>
    <row r="55" spans="1:46" s="4" customFormat="1" ht="33.450000000000003" customHeight="1">
      <c r="A55" s="26"/>
      <c r="B55" s="1700"/>
      <c r="C55" s="1700"/>
      <c r="D55" s="1700"/>
      <c r="E55" s="1700"/>
      <c r="F55" s="1700"/>
      <c r="G55" s="1700"/>
      <c r="H55" s="1700"/>
      <c r="I55" s="1700"/>
      <c r="J55" s="1700"/>
      <c r="K55" s="1700"/>
      <c r="L55" s="1700"/>
      <c r="M55" s="1700"/>
      <c r="N55" s="1700"/>
      <c r="O55" s="1700"/>
      <c r="P55" s="1700"/>
      <c r="Q55" s="1700"/>
      <c r="R55" s="1700"/>
      <c r="S55" s="1700"/>
      <c r="T55" s="1700"/>
      <c r="U55" s="1700"/>
      <c r="V55" s="1700"/>
      <c r="W55" s="1700"/>
      <c r="X55" s="1700"/>
      <c r="Y55" s="1700"/>
      <c r="Z55" s="1700"/>
      <c r="AA55" s="1700"/>
      <c r="AB55" s="1700"/>
      <c r="AC55" s="1700"/>
      <c r="AD55" s="1700"/>
      <c r="AE55" s="1700"/>
      <c r="AF55" s="1700"/>
      <c r="AG55" s="1700"/>
      <c r="AH55" s="1700"/>
      <c r="AI55" s="1700"/>
      <c r="AJ55" s="1700"/>
      <c r="AK55" s="170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700" t="s">
        <v>2200</v>
      </c>
      <c r="C57" s="1700"/>
      <c r="D57" s="1700"/>
      <c r="E57" s="1700"/>
      <c r="F57" s="1700"/>
      <c r="G57" s="1700"/>
      <c r="H57" s="1700"/>
      <c r="I57" s="1700"/>
      <c r="J57" s="1700"/>
      <c r="K57" s="1700"/>
      <c r="L57" s="1700"/>
      <c r="M57" s="1700"/>
      <c r="N57" s="1700"/>
      <c r="O57" s="1700"/>
      <c r="P57" s="1700"/>
      <c r="Q57" s="1700"/>
      <c r="R57" s="1700"/>
      <c r="S57" s="1700"/>
      <c r="T57" s="1700"/>
      <c r="U57" s="1700"/>
      <c r="V57" s="1700"/>
      <c r="W57" s="1700"/>
      <c r="X57" s="1700"/>
      <c r="Y57" s="1700"/>
      <c r="Z57" s="1700"/>
      <c r="AA57" s="1700"/>
      <c r="AB57" s="1700"/>
      <c r="AC57" s="1700"/>
      <c r="AD57" s="1700"/>
      <c r="AE57" s="1700"/>
      <c r="AF57" s="1700"/>
      <c r="AG57" s="1700"/>
      <c r="AH57" s="1700"/>
      <c r="AI57" s="1700"/>
      <c r="AJ57" s="1700"/>
      <c r="AK57" s="1700"/>
      <c r="AL57" s="103"/>
      <c r="AM57" s="27"/>
      <c r="AN57" s="281"/>
    </row>
    <row r="58" spans="1:46" s="4" customFormat="1" ht="12.75" customHeight="1">
      <c r="B58" s="1700"/>
      <c r="C58" s="1700"/>
      <c r="D58" s="1700"/>
      <c r="E58" s="1700"/>
      <c r="F58" s="1700"/>
      <c r="G58" s="1700"/>
      <c r="H58" s="1700"/>
      <c r="I58" s="1700"/>
      <c r="J58" s="1700"/>
      <c r="K58" s="1700"/>
      <c r="L58" s="1700"/>
      <c r="M58" s="1700"/>
      <c r="N58" s="1700"/>
      <c r="O58" s="1700"/>
      <c r="P58" s="1700"/>
      <c r="Q58" s="1700"/>
      <c r="R58" s="1700"/>
      <c r="S58" s="1700"/>
      <c r="T58" s="1700"/>
      <c r="U58" s="1700"/>
      <c r="V58" s="1700"/>
      <c r="W58" s="1700"/>
      <c r="X58" s="1700"/>
      <c r="Y58" s="1700"/>
      <c r="Z58" s="1700"/>
      <c r="AA58" s="1700"/>
      <c r="AB58" s="1700"/>
      <c r="AC58" s="1700"/>
      <c r="AD58" s="1700"/>
      <c r="AE58" s="1700"/>
      <c r="AF58" s="1700"/>
      <c r="AG58" s="1700"/>
      <c r="AH58" s="1700"/>
      <c r="AI58" s="1700"/>
      <c r="AJ58" s="1700"/>
      <c r="AK58" s="1700"/>
      <c r="AL58" s="103"/>
      <c r="AM58" s="27"/>
      <c r="AN58" s="281"/>
    </row>
    <row r="59" spans="1:46" s="4" customFormat="1" ht="22.95" customHeight="1">
      <c r="A59" s="426"/>
      <c r="B59" s="1700"/>
      <c r="C59" s="1700"/>
      <c r="D59" s="1700"/>
      <c r="E59" s="1700"/>
      <c r="F59" s="1700"/>
      <c r="G59" s="1700"/>
      <c r="H59" s="1700"/>
      <c r="I59" s="1700"/>
      <c r="J59" s="1700"/>
      <c r="K59" s="1700"/>
      <c r="L59" s="1700"/>
      <c r="M59" s="1700"/>
      <c r="N59" s="1700"/>
      <c r="O59" s="1700"/>
      <c r="P59" s="1700"/>
      <c r="Q59" s="1700"/>
      <c r="R59" s="1700"/>
      <c r="S59" s="1700"/>
      <c r="T59" s="1700"/>
      <c r="U59" s="1700"/>
      <c r="V59" s="1700"/>
      <c r="W59" s="1700"/>
      <c r="X59" s="1700"/>
      <c r="Y59" s="1700"/>
      <c r="Z59" s="1700"/>
      <c r="AA59" s="1700"/>
      <c r="AB59" s="1700"/>
      <c r="AC59" s="1700"/>
      <c r="AD59" s="1700"/>
      <c r="AE59" s="1700"/>
      <c r="AF59" s="1700"/>
      <c r="AG59" s="1700"/>
      <c r="AH59" s="1700"/>
      <c r="AI59" s="1700"/>
      <c r="AJ59" s="1700"/>
      <c r="AK59" s="170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75">
        <f>$AJ$31+$AJ$47</f>
        <v>10</v>
      </c>
      <c r="AL61" s="1776"/>
      <c r="AM61" s="177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48" t="s">
        <v>364</v>
      </c>
      <c r="AF64" s="1748"/>
      <c r="AG64" s="1748"/>
      <c r="AH64" s="1748"/>
      <c r="AI64" s="1748"/>
      <c r="AJ64" s="1748"/>
      <c r="AK64" s="174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73" t="s">
        <v>663</v>
      </c>
      <c r="C66" s="1673"/>
      <c r="D66" s="1673"/>
      <c r="E66" s="1673"/>
      <c r="F66" s="1673"/>
      <c r="G66" s="1673"/>
      <c r="H66" s="1673"/>
      <c r="I66" s="1673"/>
      <c r="J66" s="1673"/>
      <c r="K66" s="1673"/>
      <c r="AF66" s="1736" t="s">
        <v>938</v>
      </c>
      <c r="AG66" s="1736"/>
      <c r="AH66" s="1736"/>
      <c r="AI66" s="1736"/>
      <c r="AJ66" s="1736"/>
      <c r="AK66" s="1736"/>
      <c r="AL66" s="1736"/>
      <c r="AN66" s="281"/>
      <c r="AP66" s="4" t="s">
        <v>124</v>
      </c>
      <c r="AS66" s="4" t="s">
        <v>665</v>
      </c>
      <c r="AT66" s="4">
        <v>10</v>
      </c>
    </row>
    <row r="67" spans="1:46" s="4" customFormat="1" ht="12.75" customHeight="1">
      <c r="B67" s="1842" t="s">
        <v>1319</v>
      </c>
      <c r="C67" s="1842"/>
      <c r="D67" s="1842"/>
      <c r="E67" s="1842"/>
      <c r="F67" s="1842"/>
      <c r="G67" s="1842"/>
      <c r="H67" s="1842"/>
      <c r="I67" s="1842"/>
      <c r="J67" s="1842"/>
      <c r="K67" s="1842"/>
      <c r="L67" s="1842"/>
      <c r="M67" s="1842"/>
      <c r="N67" s="1842"/>
      <c r="O67" s="1842"/>
      <c r="P67" s="1842"/>
      <c r="Q67" s="1842"/>
      <c r="R67" s="1842"/>
      <c r="S67" s="1842"/>
      <c r="T67" s="1673" t="s">
        <v>124</v>
      </c>
      <c r="U67" s="1673"/>
      <c r="V67" s="1673"/>
      <c r="W67" s="1673"/>
      <c r="X67" s="1673"/>
      <c r="Y67" s="1673"/>
      <c r="Z67" s="1673"/>
      <c r="AA67" s="1673"/>
      <c r="AB67" s="1673"/>
      <c r="AC67" s="167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312">
        <f>VLOOKUP($B$66,$AS$64:$AU$69,2,FALSE)</f>
        <v>10</v>
      </c>
      <c r="AL68" s="1313"/>
      <c r="AM68" s="1313"/>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48" t="s">
        <v>977</v>
      </c>
      <c r="AF73" s="1748"/>
      <c r="AG73" s="1748"/>
      <c r="AH73" s="1748"/>
      <c r="AI73" s="1748"/>
      <c r="AJ73" s="1748"/>
      <c r="AK73" s="174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700" t="s">
        <v>2115</v>
      </c>
      <c r="C75" s="1700"/>
      <c r="D75" s="1700"/>
      <c r="E75" s="1700"/>
      <c r="F75" s="1700"/>
      <c r="G75" s="1700"/>
      <c r="H75" s="1700"/>
      <c r="I75" s="1700"/>
      <c r="J75" s="1700"/>
      <c r="K75" s="1700"/>
      <c r="L75" s="1700"/>
      <c r="M75" s="1700"/>
      <c r="N75" s="1700"/>
      <c r="O75" s="1700"/>
      <c r="P75" s="1700"/>
      <c r="Q75" s="1700"/>
      <c r="R75" s="1700"/>
      <c r="S75" s="1700"/>
      <c r="T75" s="1700"/>
      <c r="U75" s="1700"/>
      <c r="V75" s="1700"/>
      <c r="W75" s="1700"/>
      <c r="X75" s="1700"/>
      <c r="Y75" s="1700"/>
      <c r="Z75" s="1700"/>
      <c r="AA75" s="1700"/>
      <c r="AB75" s="1700"/>
      <c r="AC75" s="1700"/>
      <c r="AD75" s="1700"/>
      <c r="AE75" s="1700"/>
      <c r="AF75" s="1700"/>
      <c r="AG75" s="1700"/>
      <c r="AH75" s="1700"/>
      <c r="AI75" s="1700"/>
      <c r="AJ75" s="1700"/>
      <c r="AK75" s="1700"/>
      <c r="AL75" s="103"/>
      <c r="AM75" s="27"/>
      <c r="AN75" s="281"/>
    </row>
    <row r="76" spans="1:46" s="4" customFormat="1" ht="12.75" customHeight="1">
      <c r="A76" s="27"/>
      <c r="B76" s="1700"/>
      <c r="C76" s="1700"/>
      <c r="D76" s="1700"/>
      <c r="E76" s="1700"/>
      <c r="F76" s="1700"/>
      <c r="G76" s="1700"/>
      <c r="H76" s="1700"/>
      <c r="I76" s="1700"/>
      <c r="J76" s="1700"/>
      <c r="K76" s="1700"/>
      <c r="L76" s="1700"/>
      <c r="M76" s="1700"/>
      <c r="N76" s="1700"/>
      <c r="O76" s="1700"/>
      <c r="P76" s="1700"/>
      <c r="Q76" s="1700"/>
      <c r="R76" s="1700"/>
      <c r="S76" s="1700"/>
      <c r="T76" s="1700"/>
      <c r="U76" s="1700"/>
      <c r="V76" s="1700"/>
      <c r="W76" s="1700"/>
      <c r="X76" s="1700"/>
      <c r="Y76" s="1700"/>
      <c r="Z76" s="1700"/>
      <c r="AA76" s="1700"/>
      <c r="AB76" s="1700"/>
      <c r="AC76" s="1700"/>
      <c r="AD76" s="1700"/>
      <c r="AE76" s="1700"/>
      <c r="AF76" s="1700"/>
      <c r="AG76" s="1700"/>
      <c r="AH76" s="1700"/>
      <c r="AI76" s="1700"/>
      <c r="AJ76" s="1700"/>
      <c r="AK76" s="1700"/>
      <c r="AL76" s="103"/>
      <c r="AM76" s="27"/>
      <c r="AN76" s="281"/>
    </row>
    <row r="77" spans="1:46" s="4" customFormat="1" ht="12.75" customHeight="1">
      <c r="A77" s="27"/>
      <c r="B77" s="1700"/>
      <c r="C77" s="1700"/>
      <c r="D77" s="1700"/>
      <c r="E77" s="1700"/>
      <c r="F77" s="1700"/>
      <c r="G77" s="1700"/>
      <c r="H77" s="1700"/>
      <c r="I77" s="1700"/>
      <c r="J77" s="1700"/>
      <c r="K77" s="1700"/>
      <c r="L77" s="1700"/>
      <c r="M77" s="1700"/>
      <c r="N77" s="1700"/>
      <c r="O77" s="1700"/>
      <c r="P77" s="1700"/>
      <c r="Q77" s="1700"/>
      <c r="R77" s="1700"/>
      <c r="S77" s="1700"/>
      <c r="T77" s="1700"/>
      <c r="U77" s="1700"/>
      <c r="V77" s="1700"/>
      <c r="W77" s="1700"/>
      <c r="X77" s="1700"/>
      <c r="Y77" s="1700"/>
      <c r="Z77" s="1700"/>
      <c r="AA77" s="1700"/>
      <c r="AB77" s="1700"/>
      <c r="AC77" s="1700"/>
      <c r="AD77" s="1700"/>
      <c r="AE77" s="1700"/>
      <c r="AF77" s="1700"/>
      <c r="AG77" s="1700"/>
      <c r="AH77" s="1700"/>
      <c r="AI77" s="1700"/>
      <c r="AJ77" s="1700"/>
      <c r="AK77" s="1700"/>
      <c r="AL77" s="103"/>
      <c r="AM77" s="27"/>
      <c r="AN77" s="281"/>
    </row>
    <row r="78" spans="1:46" s="4" customFormat="1" ht="12.75" customHeight="1">
      <c r="A78" s="27"/>
      <c r="B78" s="1700"/>
      <c r="C78" s="1700"/>
      <c r="D78" s="1700"/>
      <c r="E78" s="1700"/>
      <c r="F78" s="1700"/>
      <c r="G78" s="1700"/>
      <c r="H78" s="1700"/>
      <c r="I78" s="1700"/>
      <c r="J78" s="1700"/>
      <c r="K78" s="1700"/>
      <c r="L78" s="1700"/>
      <c r="M78" s="1700"/>
      <c r="N78" s="1700"/>
      <c r="O78" s="1700"/>
      <c r="P78" s="1700"/>
      <c r="Q78" s="1700"/>
      <c r="R78" s="1700"/>
      <c r="S78" s="1700"/>
      <c r="T78" s="1700"/>
      <c r="U78" s="1700"/>
      <c r="V78" s="1700"/>
      <c r="W78" s="1700"/>
      <c r="X78" s="1700"/>
      <c r="Y78" s="1700"/>
      <c r="Z78" s="1700"/>
      <c r="AA78" s="1700"/>
      <c r="AB78" s="1700"/>
      <c r="AC78" s="1700"/>
      <c r="AD78" s="1700"/>
      <c r="AE78" s="1700"/>
      <c r="AF78" s="1700"/>
      <c r="AG78" s="1700"/>
      <c r="AH78" s="1700"/>
      <c r="AI78" s="1700"/>
      <c r="AJ78" s="1700"/>
      <c r="AK78" s="1700"/>
      <c r="AL78" s="103"/>
      <c r="AM78" s="27"/>
      <c r="AN78" s="281"/>
    </row>
    <row r="79" spans="1:46" s="4" customFormat="1" ht="12.75" customHeight="1">
      <c r="A79" s="27"/>
      <c r="B79" s="1700"/>
      <c r="C79" s="1700"/>
      <c r="D79" s="1700"/>
      <c r="E79" s="1700"/>
      <c r="F79" s="1700"/>
      <c r="G79" s="1700"/>
      <c r="H79" s="1700"/>
      <c r="I79" s="1700"/>
      <c r="J79" s="1700"/>
      <c r="K79" s="1700"/>
      <c r="L79" s="1700"/>
      <c r="M79" s="1700"/>
      <c r="N79" s="1700"/>
      <c r="O79" s="1700"/>
      <c r="P79" s="1700"/>
      <c r="Q79" s="1700"/>
      <c r="R79" s="1700"/>
      <c r="S79" s="1700"/>
      <c r="T79" s="1700"/>
      <c r="U79" s="1700"/>
      <c r="V79" s="1700"/>
      <c r="W79" s="1700"/>
      <c r="X79" s="1700"/>
      <c r="Y79" s="1700"/>
      <c r="Z79" s="1700"/>
      <c r="AA79" s="1700"/>
      <c r="AB79" s="1700"/>
      <c r="AC79" s="1700"/>
      <c r="AD79" s="1700"/>
      <c r="AE79" s="1700"/>
      <c r="AF79" s="1700"/>
      <c r="AG79" s="1700"/>
      <c r="AH79" s="1700"/>
      <c r="AI79" s="1700"/>
      <c r="AJ79" s="1700"/>
      <c r="AK79" s="1700"/>
      <c r="AL79" s="103"/>
      <c r="AM79" s="27"/>
      <c r="AN79" s="281"/>
    </row>
    <row r="80" spans="1:46" s="4" customFormat="1" ht="12.75" customHeight="1">
      <c r="A80" s="27"/>
      <c r="B80" s="1700"/>
      <c r="C80" s="1700"/>
      <c r="D80" s="1700"/>
      <c r="E80" s="1700"/>
      <c r="F80" s="1700"/>
      <c r="G80" s="1700"/>
      <c r="H80" s="1700"/>
      <c r="I80" s="1700"/>
      <c r="J80" s="1700"/>
      <c r="K80" s="1700"/>
      <c r="L80" s="1700"/>
      <c r="M80" s="1700"/>
      <c r="N80" s="1700"/>
      <c r="O80" s="1700"/>
      <c r="P80" s="1700"/>
      <c r="Q80" s="1700"/>
      <c r="R80" s="1700"/>
      <c r="S80" s="1700"/>
      <c r="T80" s="1700"/>
      <c r="U80" s="1700"/>
      <c r="V80" s="1700"/>
      <c r="W80" s="1700"/>
      <c r="X80" s="1700"/>
      <c r="Y80" s="1700"/>
      <c r="Z80" s="1700"/>
      <c r="AA80" s="1700"/>
      <c r="AB80" s="1700"/>
      <c r="AC80" s="1700"/>
      <c r="AD80" s="1700"/>
      <c r="AE80" s="1700"/>
      <c r="AF80" s="1700"/>
      <c r="AG80" s="1700"/>
      <c r="AH80" s="1700"/>
      <c r="AI80" s="1700"/>
      <c r="AJ80" s="1700"/>
      <c r="AK80" s="1700"/>
      <c r="AL80" s="103"/>
      <c r="AM80" s="27"/>
      <c r="AN80" s="281"/>
    </row>
    <row r="81" spans="1:42" ht="12.75" customHeight="1">
      <c r="A81" s="27"/>
      <c r="B81" s="1700"/>
      <c r="C81" s="1700"/>
      <c r="D81" s="1700"/>
      <c r="E81" s="1700"/>
      <c r="F81" s="1700"/>
      <c r="G81" s="1700"/>
      <c r="H81" s="1700"/>
      <c r="I81" s="1700"/>
      <c r="J81" s="1700"/>
      <c r="K81" s="1700"/>
      <c r="L81" s="1700"/>
      <c r="M81" s="1700"/>
      <c r="N81" s="1700"/>
      <c r="O81" s="1700"/>
      <c r="P81" s="1700"/>
      <c r="Q81" s="1700"/>
      <c r="R81" s="1700"/>
      <c r="S81" s="1700"/>
      <c r="T81" s="1700"/>
      <c r="U81" s="1700"/>
      <c r="V81" s="1700"/>
      <c r="W81" s="1700"/>
      <c r="X81" s="1700"/>
      <c r="Y81" s="1700"/>
      <c r="Z81" s="1700"/>
      <c r="AA81" s="1700"/>
      <c r="AB81" s="1700"/>
      <c r="AC81" s="1700"/>
      <c r="AD81" s="1700"/>
      <c r="AE81" s="1700"/>
      <c r="AF81" s="1700"/>
      <c r="AG81" s="1700"/>
      <c r="AH81" s="1700"/>
      <c r="AI81" s="1700"/>
      <c r="AJ81" s="1700"/>
      <c r="AK81" s="1700"/>
      <c r="AL81" s="103"/>
      <c r="AM81" s="27"/>
    </row>
    <row r="82" spans="1:42" s="4" customFormat="1" ht="12.75" customHeight="1">
      <c r="B82" s="1700"/>
      <c r="C82" s="1700"/>
      <c r="D82" s="1700"/>
      <c r="E82" s="1700"/>
      <c r="F82" s="1700"/>
      <c r="G82" s="1700"/>
      <c r="H82" s="1700"/>
      <c r="I82" s="1700"/>
      <c r="J82" s="1700"/>
      <c r="K82" s="1700"/>
      <c r="L82" s="1700"/>
      <c r="M82" s="1700"/>
      <c r="N82" s="1700"/>
      <c r="O82" s="1700"/>
      <c r="P82" s="1700"/>
      <c r="Q82" s="1700"/>
      <c r="R82" s="1700"/>
      <c r="S82" s="1700"/>
      <c r="T82" s="1700"/>
      <c r="U82" s="1700"/>
      <c r="V82" s="1700"/>
      <c r="W82" s="1700"/>
      <c r="X82" s="1700"/>
      <c r="Y82" s="1700"/>
      <c r="Z82" s="1700"/>
      <c r="AA82" s="1700"/>
      <c r="AB82" s="1700"/>
      <c r="AC82" s="1700"/>
      <c r="AD82" s="1700"/>
      <c r="AE82" s="1700"/>
      <c r="AF82" s="1700"/>
      <c r="AG82" s="1700"/>
      <c r="AH82" s="1700"/>
      <c r="AI82" s="1700"/>
      <c r="AJ82" s="1700"/>
      <c r="AK82" s="1700"/>
      <c r="AL82" s="103"/>
      <c r="AN82" s="281"/>
    </row>
    <row r="83" spans="1:42" s="4" customFormat="1" ht="12.75" customHeight="1">
      <c r="B83" s="1700"/>
      <c r="C83" s="1700"/>
      <c r="D83" s="1700"/>
      <c r="E83" s="1700"/>
      <c r="F83" s="1700"/>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700"/>
      <c r="AJ83" s="1700"/>
      <c r="AK83" s="1700"/>
      <c r="AL83" s="103"/>
      <c r="AN83" s="281"/>
    </row>
    <row r="84" spans="1:42" s="4" customFormat="1" ht="14.4" customHeight="1">
      <c r="B84" s="1700"/>
      <c r="C84" s="1700"/>
      <c r="D84" s="1700"/>
      <c r="E84" s="1700"/>
      <c r="F84" s="1700"/>
      <c r="G84" s="1700"/>
      <c r="H84" s="1700"/>
      <c r="I84" s="1700"/>
      <c r="J84" s="1700"/>
      <c r="K84" s="1700"/>
      <c r="L84" s="1700"/>
      <c r="M84" s="1700"/>
      <c r="N84" s="1700"/>
      <c r="O84" s="1700"/>
      <c r="P84" s="1700"/>
      <c r="Q84" s="1700"/>
      <c r="R84" s="1700"/>
      <c r="S84" s="1700"/>
      <c r="T84" s="1700"/>
      <c r="U84" s="1700"/>
      <c r="V84" s="1700"/>
      <c r="W84" s="1700"/>
      <c r="X84" s="1700"/>
      <c r="Y84" s="1700"/>
      <c r="Z84" s="1700"/>
      <c r="AA84" s="1700"/>
      <c r="AB84" s="1700"/>
      <c r="AC84" s="1700"/>
      <c r="AD84" s="1700"/>
      <c r="AE84" s="1700"/>
      <c r="AF84" s="1700"/>
      <c r="AG84" s="1700"/>
      <c r="AH84" s="1700"/>
      <c r="AI84" s="1700"/>
      <c r="AJ84" s="1700"/>
      <c r="AK84" s="1700"/>
      <c r="AL84" s="103"/>
      <c r="AN84" s="281"/>
    </row>
    <row r="85" spans="1:42" s="4" customFormat="1" ht="12.75" customHeight="1">
      <c r="B85" s="1700"/>
      <c r="C85" s="1700"/>
      <c r="D85" s="1700"/>
      <c r="E85" s="1700"/>
      <c r="F85" s="1700"/>
      <c r="G85" s="1700"/>
      <c r="H85" s="1700"/>
      <c r="I85" s="1700"/>
      <c r="J85" s="1700"/>
      <c r="K85" s="1700"/>
      <c r="L85" s="1700"/>
      <c r="M85" s="1700"/>
      <c r="N85" s="1700"/>
      <c r="O85" s="1700"/>
      <c r="P85" s="1700"/>
      <c r="Q85" s="1700"/>
      <c r="R85" s="1700"/>
      <c r="S85" s="1700"/>
      <c r="T85" s="1700"/>
      <c r="U85" s="1700"/>
      <c r="V85" s="1700"/>
      <c r="W85" s="1700"/>
      <c r="X85" s="1700"/>
      <c r="Y85" s="1700"/>
      <c r="Z85" s="1700"/>
      <c r="AA85" s="1700"/>
      <c r="AB85" s="1700"/>
      <c r="AC85" s="1700"/>
      <c r="AD85" s="1700"/>
      <c r="AE85" s="1700"/>
      <c r="AF85" s="1700"/>
      <c r="AG85" s="1700"/>
      <c r="AH85" s="1700"/>
      <c r="AI85" s="1700"/>
      <c r="AJ85" s="1700"/>
      <c r="AK85" s="170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736" t="s">
        <v>854</v>
      </c>
      <c r="AG90" s="1736"/>
      <c r="AH90" s="1736"/>
      <c r="AI90" s="1736"/>
      <c r="AJ90" s="1736"/>
      <c r="AK90" s="1736"/>
      <c r="AL90" s="1736"/>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6" t="s">
        <v>58</v>
      </c>
      <c r="AG95" s="1736"/>
      <c r="AH95" s="1736"/>
      <c r="AI95" s="1736"/>
      <c r="AJ95" s="1736"/>
      <c r="AK95" s="1736"/>
      <c r="AL95" s="1736"/>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6" t="s">
        <v>59</v>
      </c>
      <c r="AG100" s="1736"/>
      <c r="AH100" s="1736"/>
      <c r="AI100" s="1736"/>
      <c r="AJ100" s="1736"/>
      <c r="AK100" s="1736"/>
      <c r="AL100" s="1736"/>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6" t="s">
        <v>60</v>
      </c>
      <c r="AG105" s="1736"/>
      <c r="AH105" s="1736"/>
      <c r="AI105" s="1736"/>
      <c r="AJ105" s="1736"/>
      <c r="AK105" s="1736"/>
      <c r="AL105" s="1736"/>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6" t="s">
        <v>61</v>
      </c>
      <c r="AG109" s="1736"/>
      <c r="AH109" s="1736"/>
      <c r="AI109" s="1736"/>
      <c r="AJ109" s="1736"/>
      <c r="AK109" s="1736"/>
      <c r="AL109" s="1736"/>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37" t="s">
        <v>732</v>
      </c>
      <c r="I112" s="1837"/>
      <c r="J112" s="116"/>
      <c r="K112" s="116"/>
      <c r="L112" s="116"/>
      <c r="M112" s="937" t="s">
        <v>2099</v>
      </c>
      <c r="R112" s="1841"/>
      <c r="S112" s="1841"/>
      <c r="T112" s="1841"/>
      <c r="U112" s="1841"/>
      <c r="V112" s="1841"/>
      <c r="W112" s="1841"/>
      <c r="Y112" s="1167" t="str">
        <f>IF(AND(H112="(i)",NOT(Application!AF411&gt;25)),AO103,IF(AND(H112="(iv)",OR(R112=AO108,R112=AO109),NOT(AP94)),AO104,""))</f>
        <v/>
      </c>
      <c r="Z112" s="1167"/>
      <c r="AA112" s="1167"/>
      <c r="AB112" s="1167"/>
      <c r="AC112" s="1167"/>
      <c r="AD112" s="1167"/>
      <c r="AE112" s="1167"/>
      <c r="AF112" s="1167"/>
      <c r="AG112" s="1167"/>
      <c r="AH112" s="1167"/>
      <c r="AI112" s="1167"/>
      <c r="AJ112" s="1167"/>
      <c r="AK112" s="1167"/>
      <c r="AL112" s="1167"/>
      <c r="AM112" s="1675"/>
      <c r="AN112" s="957"/>
    </row>
    <row r="113" spans="1:47" s="4" customFormat="1" ht="12.75" customHeight="1">
      <c r="B113" s="5"/>
      <c r="C113" s="115"/>
      <c r="E113" s="116"/>
      <c r="F113" s="116"/>
      <c r="G113" s="116"/>
      <c r="H113" s="116"/>
      <c r="I113" s="116"/>
      <c r="J113" s="116"/>
      <c r="K113" s="116"/>
      <c r="L113" s="116"/>
      <c r="M113" s="116"/>
      <c r="Y113" s="1167"/>
      <c r="Z113" s="1167"/>
      <c r="AA113" s="1167"/>
      <c r="AB113" s="1167"/>
      <c r="AC113" s="1167"/>
      <c r="AD113" s="1167"/>
      <c r="AE113" s="1167"/>
      <c r="AF113" s="1167"/>
      <c r="AG113" s="1167"/>
      <c r="AH113" s="1167"/>
      <c r="AI113" s="1167"/>
      <c r="AJ113" s="1167"/>
      <c r="AK113" s="1167"/>
      <c r="AL113" s="1167"/>
      <c r="AM113" s="1675"/>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76" t="s">
        <v>2248</v>
      </c>
      <c r="E116" s="1676"/>
      <c r="F116" s="1676"/>
      <c r="G116" s="1676"/>
      <c r="H116" s="1676"/>
      <c r="I116" s="1676"/>
      <c r="J116" s="1676"/>
      <c r="K116" s="1676"/>
      <c r="L116" s="1676"/>
      <c r="M116" s="1676"/>
      <c r="N116" s="1676"/>
      <c r="O116" s="1676"/>
      <c r="P116" s="1676"/>
      <c r="Q116" s="1676"/>
      <c r="R116" s="1676"/>
      <c r="S116" s="1676"/>
      <c r="T116" s="1676"/>
      <c r="U116" s="1676"/>
      <c r="V116" s="1676"/>
      <c r="W116" s="1676"/>
      <c r="X116" s="1676"/>
      <c r="Y116" s="1676"/>
      <c r="Z116" s="1676"/>
      <c r="AA116" s="1676"/>
      <c r="AB116" s="1676"/>
      <c r="AC116" s="1676"/>
      <c r="AD116" s="1676"/>
      <c r="AE116" s="1676"/>
      <c r="AF116" s="1676"/>
      <c r="AG116" s="1676"/>
      <c r="AH116" s="1676"/>
      <c r="AN116" s="281"/>
      <c r="AO116" s="4" t="s">
        <v>124</v>
      </c>
      <c r="AP116" s="472">
        <v>0</v>
      </c>
    </row>
    <row r="117" spans="1:47" s="4" customFormat="1" ht="12.75" customHeight="1">
      <c r="B117" s="5"/>
      <c r="C117" s="115"/>
      <c r="D117" s="1676"/>
      <c r="E117" s="1676"/>
      <c r="F117" s="1676"/>
      <c r="G117" s="1676"/>
      <c r="H117" s="1676"/>
      <c r="I117" s="1676"/>
      <c r="J117" s="1676"/>
      <c r="K117" s="1676"/>
      <c r="L117" s="1676"/>
      <c r="M117" s="1676"/>
      <c r="N117" s="1676"/>
      <c r="O117" s="1676"/>
      <c r="P117" s="1676"/>
      <c r="Q117" s="1676"/>
      <c r="R117" s="1676"/>
      <c r="S117" s="1676"/>
      <c r="T117" s="1676"/>
      <c r="U117" s="1676"/>
      <c r="V117" s="1676"/>
      <c r="W117" s="1676"/>
      <c r="X117" s="1676"/>
      <c r="Y117" s="1676"/>
      <c r="Z117" s="1676"/>
      <c r="AA117" s="1676"/>
      <c r="AB117" s="1676"/>
      <c r="AC117" s="1676"/>
      <c r="AD117" s="1676"/>
      <c r="AE117" s="1676"/>
      <c r="AF117" s="1676"/>
      <c r="AG117" s="1676"/>
      <c r="AH117" s="1676"/>
      <c r="AN117" s="281"/>
      <c r="AO117" s="4" t="s">
        <v>1471</v>
      </c>
      <c r="AP117" s="4">
        <v>3</v>
      </c>
    </row>
    <row r="118" spans="1:47" s="4" customFormat="1" ht="12.75" customHeight="1">
      <c r="B118" s="5"/>
      <c r="C118" s="115"/>
      <c r="E118" s="4" t="s">
        <v>147</v>
      </c>
      <c r="F118" s="116"/>
      <c r="G118" s="116"/>
      <c r="H118" s="1840" t="s">
        <v>124</v>
      </c>
      <c r="I118" s="1840"/>
      <c r="J118" s="1840"/>
      <c r="K118" s="1840"/>
      <c r="L118" s="1840"/>
      <c r="M118" s="1840"/>
      <c r="N118" s="1840"/>
      <c r="O118" s="1840"/>
      <c r="P118" s="1840"/>
      <c r="Q118" s="1840"/>
      <c r="R118" s="1840"/>
      <c r="S118" s="1840"/>
      <c r="T118" s="1840"/>
      <c r="U118" s="1840"/>
      <c r="V118" s="1840"/>
      <c r="W118" s="1840"/>
      <c r="X118" s="1840"/>
      <c r="Y118" s="1840"/>
      <c r="Z118" s="1840"/>
      <c r="AA118" s="1840"/>
      <c r="AB118" s="1840"/>
      <c r="AC118" s="1840"/>
      <c r="AD118" s="1840"/>
      <c r="AE118" s="184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73" t="s">
        <v>124</v>
      </c>
      <c r="C120" s="1673"/>
      <c r="D120" s="49"/>
      <c r="E120" s="1700" t="s">
        <v>1769</v>
      </c>
      <c r="F120" s="1700"/>
      <c r="G120" s="1700"/>
      <c r="H120" s="1700"/>
      <c r="I120" s="1700"/>
      <c r="J120" s="1700"/>
      <c r="K120" s="1700"/>
      <c r="L120" s="1700"/>
      <c r="M120" s="1700"/>
      <c r="N120" s="1700"/>
      <c r="O120" s="1700"/>
      <c r="P120" s="1700"/>
      <c r="Q120" s="1700"/>
      <c r="R120" s="1700"/>
      <c r="S120" s="1700"/>
      <c r="T120" s="1700"/>
      <c r="U120" s="1700"/>
      <c r="V120" s="1700"/>
      <c r="W120" s="1700"/>
      <c r="X120" s="1700"/>
      <c r="Y120" s="1700"/>
      <c r="Z120" s="1700"/>
      <c r="AA120" s="1700"/>
      <c r="AB120" s="1700"/>
      <c r="AC120" s="1700"/>
      <c r="AD120" s="1700"/>
      <c r="AE120" s="1700"/>
      <c r="AF120" s="1700"/>
      <c r="AG120" s="1700"/>
      <c r="AH120" s="49"/>
      <c r="AI120" s="49"/>
      <c r="AJ120" s="49"/>
      <c r="AK120" s="49"/>
      <c r="AL120" s="49"/>
      <c r="AN120" s="281"/>
    </row>
    <row r="121" spans="1:47" s="4" customFormat="1" ht="12.75" customHeight="1">
      <c r="B121" s="5"/>
      <c r="C121" s="115"/>
      <c r="D121" s="49"/>
      <c r="E121" s="1700"/>
      <c r="F121" s="1700"/>
      <c r="G121" s="1700"/>
      <c r="H121" s="1700"/>
      <c r="I121" s="1700"/>
      <c r="J121" s="1700"/>
      <c r="K121" s="1700"/>
      <c r="L121" s="1700"/>
      <c r="M121" s="1700"/>
      <c r="N121" s="1700"/>
      <c r="O121" s="1700"/>
      <c r="P121" s="1700"/>
      <c r="Q121" s="1700"/>
      <c r="R121" s="1700"/>
      <c r="S121" s="1700"/>
      <c r="T121" s="1700"/>
      <c r="U121" s="1700"/>
      <c r="V121" s="1700"/>
      <c r="W121" s="1700"/>
      <c r="X121" s="1700"/>
      <c r="Y121" s="1700"/>
      <c r="Z121" s="1700"/>
      <c r="AA121" s="1700"/>
      <c r="AB121" s="1700"/>
      <c r="AC121" s="1700"/>
      <c r="AD121" s="1700"/>
      <c r="AE121" s="1700"/>
      <c r="AF121" s="1700"/>
      <c r="AG121" s="1700"/>
      <c r="AH121" s="49"/>
      <c r="AI121" s="49"/>
      <c r="AJ121" s="49"/>
      <c r="AK121" s="49"/>
      <c r="AL121" s="49"/>
      <c r="AN121" s="281"/>
    </row>
    <row r="122" spans="1:47" s="4" customFormat="1" ht="12.75" customHeight="1">
      <c r="B122" s="5"/>
      <c r="C122" s="115"/>
      <c r="D122" s="49"/>
      <c r="E122" s="1700"/>
      <c r="F122" s="1700"/>
      <c r="G122" s="1700"/>
      <c r="H122" s="1700"/>
      <c r="I122" s="1700"/>
      <c r="J122" s="1700"/>
      <c r="K122" s="1700"/>
      <c r="L122" s="1700"/>
      <c r="M122" s="1700"/>
      <c r="N122" s="1700"/>
      <c r="O122" s="1700"/>
      <c r="P122" s="1700"/>
      <c r="Q122" s="1700"/>
      <c r="R122" s="1700"/>
      <c r="S122" s="1700"/>
      <c r="T122" s="1700"/>
      <c r="U122" s="1700"/>
      <c r="V122" s="1700"/>
      <c r="W122" s="1700"/>
      <c r="X122" s="1700"/>
      <c r="Y122" s="1700"/>
      <c r="Z122" s="1700"/>
      <c r="AA122" s="1700"/>
      <c r="AB122" s="1700"/>
      <c r="AC122" s="1700"/>
      <c r="AD122" s="1700"/>
      <c r="AE122" s="1700"/>
      <c r="AF122" s="1700"/>
      <c r="AG122" s="1700"/>
      <c r="AH122" s="49"/>
      <c r="AI122" s="49"/>
      <c r="AJ122" s="49"/>
      <c r="AK122" s="49"/>
      <c r="AL122" s="49"/>
      <c r="AN122" s="281"/>
    </row>
    <row r="123" spans="1:47" s="4" customFormat="1" ht="12.75" customHeight="1">
      <c r="B123" s="5"/>
      <c r="C123" s="115"/>
      <c r="D123" s="299"/>
      <c r="E123" s="1839"/>
      <c r="F123" s="1839"/>
      <c r="G123" s="1839"/>
      <c r="H123" s="1839"/>
      <c r="I123" s="1839"/>
      <c r="J123" s="1839"/>
      <c r="K123" s="1839"/>
      <c r="L123" s="1839"/>
      <c r="M123" s="1839"/>
      <c r="N123" s="1839"/>
      <c r="O123" s="1839"/>
      <c r="P123" s="1839"/>
      <c r="Q123" s="1839"/>
      <c r="R123" s="1839"/>
      <c r="S123" s="1839"/>
      <c r="T123" s="1839"/>
      <c r="U123" s="1839"/>
      <c r="V123" s="1839"/>
      <c r="W123" s="1839"/>
      <c r="X123" s="1839"/>
      <c r="Y123" s="1839"/>
      <c r="Z123" s="1839"/>
      <c r="AA123" s="1839"/>
      <c r="AB123" s="1839"/>
      <c r="AC123" s="1839"/>
      <c r="AD123" s="1839"/>
      <c r="AE123" s="1839"/>
      <c r="AF123" s="1839"/>
      <c r="AG123" s="183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312">
        <f>VLOOKUP($H$112,$AO$96:$AP$101,2,FALSE)+IF(R112=AO108,0,VLOOKUP($H$118,$AO$116:$AP$118,2,FALSE))</f>
        <v>3</v>
      </c>
      <c r="AK124" s="131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38" t="s">
        <v>1837</v>
      </c>
      <c r="F128" s="1838"/>
      <c r="G128" s="1838"/>
      <c r="H128" s="1838"/>
      <c r="I128" s="1838"/>
      <c r="J128" s="1838"/>
      <c r="K128" s="1838"/>
      <c r="L128" s="1838"/>
      <c r="M128" s="1838"/>
      <c r="N128" s="1838"/>
      <c r="O128" s="1838"/>
      <c r="P128" s="1838"/>
      <c r="Q128" s="1838"/>
      <c r="R128" s="1838"/>
      <c r="S128" s="1838"/>
      <c r="T128" s="1838"/>
      <c r="U128" s="1838"/>
      <c r="V128" s="1838"/>
      <c r="W128" s="1838"/>
      <c r="X128" s="1838"/>
      <c r="Y128" s="1838"/>
      <c r="Z128" s="1838"/>
      <c r="AA128" s="1838"/>
      <c r="AB128" s="1838"/>
      <c r="AC128" s="1838"/>
      <c r="AD128" s="1838"/>
      <c r="AF128" s="1736" t="s">
        <v>61</v>
      </c>
      <c r="AG128" s="1736"/>
      <c r="AH128" s="1736"/>
      <c r="AI128" s="1736"/>
      <c r="AJ128" s="1736"/>
      <c r="AK128" s="1736"/>
      <c r="AL128" s="1736"/>
      <c r="AM128" s="4"/>
      <c r="AN128" s="298"/>
      <c r="AO128" s="4" t="str">
        <f>S133</f>
        <v>N/A</v>
      </c>
    </row>
    <row r="129" spans="1:42" s="4" customFormat="1" ht="12.75" customHeight="1">
      <c r="A129" s="120"/>
      <c r="B129" s="5"/>
      <c r="C129" s="115"/>
      <c r="D129" s="26"/>
      <c r="E129" s="1838"/>
      <c r="F129" s="1838"/>
      <c r="G129" s="1838"/>
      <c r="H129" s="1838"/>
      <c r="I129" s="1838"/>
      <c r="J129" s="1838"/>
      <c r="K129" s="1838"/>
      <c r="L129" s="1838"/>
      <c r="M129" s="1838"/>
      <c r="N129" s="1838"/>
      <c r="O129" s="1838"/>
      <c r="P129" s="1838"/>
      <c r="Q129" s="1838"/>
      <c r="R129" s="1838"/>
      <c r="S129" s="1838"/>
      <c r="T129" s="1838"/>
      <c r="U129" s="1838"/>
      <c r="V129" s="1838"/>
      <c r="W129" s="1838"/>
      <c r="X129" s="1838"/>
      <c r="Y129" s="1838"/>
      <c r="Z129" s="1838"/>
      <c r="AA129" s="1838"/>
      <c r="AB129" s="1838"/>
      <c r="AC129" s="1838"/>
      <c r="AD129" s="1838"/>
      <c r="AF129" s="5"/>
      <c r="AN129" s="281"/>
    </row>
    <row r="130" spans="1:42" s="4" customFormat="1" ht="12.75" customHeight="1">
      <c r="B130" s="5"/>
      <c r="C130" s="45"/>
      <c r="D130" s="26"/>
      <c r="E130" s="1838"/>
      <c r="F130" s="1838"/>
      <c r="G130" s="1838"/>
      <c r="H130" s="1838"/>
      <c r="I130" s="1838"/>
      <c r="J130" s="1838"/>
      <c r="K130" s="1838"/>
      <c r="L130" s="1838"/>
      <c r="M130" s="1838"/>
      <c r="N130" s="1838"/>
      <c r="O130" s="1838"/>
      <c r="P130" s="1838"/>
      <c r="Q130" s="1838"/>
      <c r="R130" s="1838"/>
      <c r="S130" s="1838"/>
      <c r="T130" s="1838"/>
      <c r="U130" s="1838"/>
      <c r="V130" s="1838"/>
      <c r="W130" s="1838"/>
      <c r="X130" s="1838"/>
      <c r="Y130" s="1838"/>
      <c r="Z130" s="1838"/>
      <c r="AA130" s="1838"/>
      <c r="AB130" s="1838"/>
      <c r="AC130" s="1838"/>
      <c r="AD130" s="1838"/>
      <c r="AF130" s="5"/>
      <c r="AN130" s="281"/>
    </row>
    <row r="131" spans="1:42" s="4" customFormat="1" ht="12.75" customHeight="1">
      <c r="A131" s="35"/>
      <c r="B131" s="102"/>
      <c r="C131" s="121"/>
      <c r="D131" s="26"/>
      <c r="E131" s="1838"/>
      <c r="F131" s="1838"/>
      <c r="G131" s="1838"/>
      <c r="H131" s="1838"/>
      <c r="I131" s="1838"/>
      <c r="J131" s="1838"/>
      <c r="K131" s="1838"/>
      <c r="L131" s="1838"/>
      <c r="M131" s="1838"/>
      <c r="N131" s="1838"/>
      <c r="O131" s="1838"/>
      <c r="P131" s="1838"/>
      <c r="Q131" s="1838"/>
      <c r="R131" s="1838"/>
      <c r="S131" s="1838"/>
      <c r="T131" s="1838"/>
      <c r="U131" s="1838"/>
      <c r="V131" s="1838"/>
      <c r="W131" s="1838"/>
      <c r="X131" s="1838"/>
      <c r="Y131" s="1838"/>
      <c r="Z131" s="1838"/>
      <c r="AA131" s="1838"/>
      <c r="AB131" s="1838"/>
      <c r="AC131" s="1838"/>
      <c r="AD131" s="1838"/>
      <c r="AE131" s="19"/>
      <c r="AF131" s="102"/>
      <c r="AG131" s="19"/>
      <c r="AH131" s="19"/>
      <c r="AI131" s="19"/>
      <c r="AJ131" s="19"/>
      <c r="AN131" s="281"/>
    </row>
    <row r="132" spans="1:42" s="4" customFormat="1" ht="22.95" customHeight="1">
      <c r="B132" s="102"/>
      <c r="C132" s="121"/>
      <c r="D132" s="26"/>
      <c r="E132" s="1838"/>
      <c r="F132" s="1838"/>
      <c r="G132" s="1838"/>
      <c r="H132" s="1838"/>
      <c r="I132" s="1838"/>
      <c r="J132" s="1838"/>
      <c r="K132" s="1838"/>
      <c r="L132" s="1838"/>
      <c r="M132" s="1838"/>
      <c r="N132" s="1838"/>
      <c r="O132" s="1838"/>
      <c r="P132" s="1838"/>
      <c r="Q132" s="1838"/>
      <c r="R132" s="1838"/>
      <c r="S132" s="1838"/>
      <c r="T132" s="1838"/>
      <c r="U132" s="1838"/>
      <c r="V132" s="1838"/>
      <c r="W132" s="1838"/>
      <c r="X132" s="1838"/>
      <c r="Y132" s="1838"/>
      <c r="Z132" s="1838"/>
      <c r="AA132" s="1838"/>
      <c r="AB132" s="1838"/>
      <c r="AC132" s="1838"/>
      <c r="AD132" s="1838"/>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35" t="s">
        <v>124</v>
      </c>
      <c r="T133" s="183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6" t="s">
        <v>103</v>
      </c>
      <c r="AG135" s="1736"/>
      <c r="AH135" s="1736"/>
      <c r="AI135" s="1736"/>
      <c r="AJ135" s="1736"/>
      <c r="AK135" s="1736"/>
      <c r="AL135" s="173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37" t="s">
        <v>581</v>
      </c>
      <c r="I137" s="183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312">
        <f>VLOOKUP($H$137,$AO$133:$AP$135,2,FALSE)</f>
        <v>3</v>
      </c>
      <c r="AK139" s="131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6" t="s">
        <v>61</v>
      </c>
      <c r="AG143" s="1736"/>
      <c r="AH143" s="1736"/>
      <c r="AI143" s="1736"/>
      <c r="AJ143" s="1736"/>
      <c r="AK143" s="1736"/>
      <c r="AL143" s="173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6" t="s">
        <v>103</v>
      </c>
      <c r="AG146" s="1736"/>
      <c r="AH146" s="1736"/>
      <c r="AI146" s="1736"/>
      <c r="AJ146" s="1736"/>
      <c r="AK146" s="1736"/>
      <c r="AL146" s="173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37" t="s">
        <v>197</v>
      </c>
      <c r="I149" s="183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312">
        <f>VLOOKUP(H149,AO140:AP142,2,FALSE)</f>
        <v>2</v>
      </c>
      <c r="AK151" s="131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700" t="s">
        <v>746</v>
      </c>
      <c r="F156" s="1700"/>
      <c r="G156" s="1700"/>
      <c r="H156" s="1700"/>
      <c r="I156" s="1700"/>
      <c r="J156" s="1700"/>
      <c r="K156" s="1700"/>
      <c r="L156" s="1700"/>
      <c r="M156" s="1700"/>
      <c r="N156" s="1700"/>
      <c r="O156" s="1700"/>
      <c r="P156" s="1700"/>
      <c r="Q156" s="1700"/>
      <c r="R156" s="1700"/>
      <c r="S156" s="1700"/>
      <c r="T156" s="1700"/>
      <c r="U156" s="1700"/>
      <c r="V156" s="1700"/>
      <c r="W156" s="1700"/>
      <c r="X156" s="1700"/>
      <c r="Y156" s="1700"/>
      <c r="Z156" s="1700"/>
      <c r="AA156" s="1700"/>
      <c r="AB156" s="1700"/>
      <c r="AC156" s="1700"/>
      <c r="AE156" s="342"/>
      <c r="AF156" s="1490" t="s">
        <v>59</v>
      </c>
      <c r="AG156" s="1490"/>
      <c r="AH156" s="1490"/>
      <c r="AI156" s="1490"/>
      <c r="AJ156" s="1490"/>
      <c r="AK156" s="1490"/>
      <c r="AL156" s="1490"/>
      <c r="AN156" s="281"/>
    </row>
    <row r="157" spans="1:42" s="4" customFormat="1" ht="12.75" customHeight="1">
      <c r="C157" s="3"/>
      <c r="E157" s="1700"/>
      <c r="F157" s="1700"/>
      <c r="G157" s="1700"/>
      <c r="H157" s="1700"/>
      <c r="I157" s="1700"/>
      <c r="J157" s="1700"/>
      <c r="K157" s="1700"/>
      <c r="L157" s="1700"/>
      <c r="M157" s="1700"/>
      <c r="N157" s="1700"/>
      <c r="O157" s="1700"/>
      <c r="P157" s="1700"/>
      <c r="Q157" s="1700"/>
      <c r="R157" s="1700"/>
      <c r="S157" s="1700"/>
      <c r="T157" s="1700"/>
      <c r="U157" s="1700"/>
      <c r="V157" s="1700"/>
      <c r="W157" s="1700"/>
      <c r="X157" s="1700"/>
      <c r="Y157" s="1700"/>
      <c r="Z157" s="1700"/>
      <c r="AA157" s="1700"/>
      <c r="AB157" s="1700"/>
      <c r="AC157" s="1700"/>
      <c r="AE157" s="342"/>
      <c r="AF157" s="342"/>
      <c r="AG157" s="342"/>
      <c r="AH157" s="342"/>
      <c r="AI157" s="342"/>
      <c r="AJ157" s="342"/>
      <c r="AK157" s="342"/>
      <c r="AL157" s="342"/>
      <c r="AN157" s="281"/>
    </row>
    <row r="158" spans="1:42" s="4" customFormat="1" ht="12.75" customHeight="1">
      <c r="C158" s="3"/>
      <c r="D158" s="26"/>
      <c r="E158" s="1700"/>
      <c r="F158" s="1700"/>
      <c r="G158" s="1700"/>
      <c r="H158" s="1700"/>
      <c r="I158" s="1700"/>
      <c r="J158" s="1700"/>
      <c r="K158" s="1700"/>
      <c r="L158" s="1700"/>
      <c r="M158" s="1700"/>
      <c r="N158" s="1700"/>
      <c r="O158" s="1700"/>
      <c r="P158" s="1700"/>
      <c r="Q158" s="1700"/>
      <c r="R158" s="1700"/>
      <c r="S158" s="1700"/>
      <c r="T158" s="1700"/>
      <c r="U158" s="1700"/>
      <c r="V158" s="1700"/>
      <c r="W158" s="1700"/>
      <c r="X158" s="1700"/>
      <c r="Y158" s="1700"/>
      <c r="Z158" s="1700"/>
      <c r="AA158" s="1700"/>
      <c r="AB158" s="1700"/>
      <c r="AC158" s="170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700" t="s">
        <v>1713</v>
      </c>
      <c r="F160" s="1700"/>
      <c r="G160" s="1700"/>
      <c r="H160" s="1700"/>
      <c r="I160" s="1700"/>
      <c r="J160" s="1700"/>
      <c r="K160" s="1700"/>
      <c r="L160" s="1700"/>
      <c r="M160" s="1700"/>
      <c r="N160" s="1700"/>
      <c r="O160" s="1700"/>
      <c r="P160" s="1700"/>
      <c r="Q160" s="1700"/>
      <c r="R160" s="1700"/>
      <c r="S160" s="1700"/>
      <c r="T160" s="1700"/>
      <c r="U160" s="1700"/>
      <c r="V160" s="1700"/>
      <c r="W160" s="1700"/>
      <c r="X160" s="1700"/>
      <c r="Y160" s="1700"/>
      <c r="Z160" s="1700"/>
      <c r="AA160" s="1700"/>
      <c r="AB160" s="1700"/>
      <c r="AC160" s="1700"/>
      <c r="AE160" s="342"/>
      <c r="AF160" s="1490" t="s">
        <v>60</v>
      </c>
      <c r="AG160" s="1490"/>
      <c r="AH160" s="1490"/>
      <c r="AI160" s="1490"/>
      <c r="AJ160" s="1490"/>
      <c r="AK160" s="1490"/>
      <c r="AL160" s="1490"/>
      <c r="AN160" s="281"/>
    </row>
    <row r="161" spans="1:42" s="4" customFormat="1" ht="12.75" customHeight="1">
      <c r="C161" s="3"/>
      <c r="E161" s="1700"/>
      <c r="F161" s="1700"/>
      <c r="G161" s="1700"/>
      <c r="H161" s="1700"/>
      <c r="I161" s="1700"/>
      <c r="J161" s="1700"/>
      <c r="K161" s="1700"/>
      <c r="L161" s="1700"/>
      <c r="M161" s="1700"/>
      <c r="N161" s="1700"/>
      <c r="O161" s="1700"/>
      <c r="P161" s="1700"/>
      <c r="Q161" s="1700"/>
      <c r="R161" s="1700"/>
      <c r="S161" s="1700"/>
      <c r="T161" s="1700"/>
      <c r="U161" s="1700"/>
      <c r="V161" s="1700"/>
      <c r="W161" s="1700"/>
      <c r="X161" s="1700"/>
      <c r="Y161" s="1700"/>
      <c r="Z161" s="1700"/>
      <c r="AA161" s="1700"/>
      <c r="AB161" s="1700"/>
      <c r="AC161" s="1700"/>
      <c r="AE161" s="342"/>
      <c r="AF161" s="342"/>
      <c r="AG161" s="342"/>
      <c r="AH161" s="342"/>
      <c r="AI161" s="342"/>
      <c r="AJ161" s="342"/>
      <c r="AK161" s="342"/>
      <c r="AL161" s="342"/>
      <c r="AN161" s="281"/>
    </row>
    <row r="162" spans="1:42" s="4" customFormat="1" ht="15" customHeight="1">
      <c r="C162" s="3"/>
      <c r="D162" s="26"/>
      <c r="E162" s="1700"/>
      <c r="F162" s="1700"/>
      <c r="G162" s="1700"/>
      <c r="H162" s="1700"/>
      <c r="I162" s="1700"/>
      <c r="J162" s="1700"/>
      <c r="K162" s="1700"/>
      <c r="L162" s="1700"/>
      <c r="M162" s="1700"/>
      <c r="N162" s="1700"/>
      <c r="O162" s="1700"/>
      <c r="P162" s="1700"/>
      <c r="Q162" s="1700"/>
      <c r="R162" s="1700"/>
      <c r="S162" s="1700"/>
      <c r="T162" s="1700"/>
      <c r="U162" s="1700"/>
      <c r="V162" s="1700"/>
      <c r="W162" s="1700"/>
      <c r="X162" s="1700"/>
      <c r="Y162" s="1700"/>
      <c r="Z162" s="1700"/>
      <c r="AA162" s="1700"/>
      <c r="AB162" s="1700"/>
      <c r="AC162" s="170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700" t="s">
        <v>1714</v>
      </c>
      <c r="F164" s="1700"/>
      <c r="G164" s="1700"/>
      <c r="H164" s="1700"/>
      <c r="I164" s="1700"/>
      <c r="J164" s="1700"/>
      <c r="K164" s="1700"/>
      <c r="L164" s="1700"/>
      <c r="M164" s="1700"/>
      <c r="N164" s="1700"/>
      <c r="O164" s="1700"/>
      <c r="P164" s="1700"/>
      <c r="Q164" s="1700"/>
      <c r="R164" s="1700"/>
      <c r="S164" s="1700"/>
      <c r="T164" s="1700"/>
      <c r="U164" s="1700"/>
      <c r="V164" s="1700"/>
      <c r="W164" s="1700"/>
      <c r="X164" s="1700"/>
      <c r="Y164" s="1700"/>
      <c r="Z164" s="1700"/>
      <c r="AA164" s="1700"/>
      <c r="AB164" s="1700"/>
      <c r="AC164" s="1700"/>
      <c r="AE164" s="342"/>
      <c r="AF164" s="1490" t="s">
        <v>61</v>
      </c>
      <c r="AG164" s="1490"/>
      <c r="AH164" s="1490"/>
      <c r="AI164" s="1490"/>
      <c r="AJ164" s="1490"/>
      <c r="AK164" s="1490"/>
      <c r="AL164" s="1490"/>
      <c r="AN164" s="281"/>
    </row>
    <row r="165" spans="1:42" s="4" customFormat="1" ht="12.75" customHeight="1">
      <c r="B165" s="5"/>
      <c r="C165" s="45"/>
      <c r="E165" s="1700"/>
      <c r="F165" s="1700"/>
      <c r="G165" s="1700"/>
      <c r="H165" s="1700"/>
      <c r="I165" s="1700"/>
      <c r="J165" s="1700"/>
      <c r="K165" s="1700"/>
      <c r="L165" s="1700"/>
      <c r="M165" s="1700"/>
      <c r="N165" s="1700"/>
      <c r="O165" s="1700"/>
      <c r="P165" s="1700"/>
      <c r="Q165" s="1700"/>
      <c r="R165" s="1700"/>
      <c r="S165" s="1700"/>
      <c r="T165" s="1700"/>
      <c r="U165" s="1700"/>
      <c r="V165" s="1700"/>
      <c r="W165" s="1700"/>
      <c r="X165" s="1700"/>
      <c r="Y165" s="1700"/>
      <c r="Z165" s="1700"/>
      <c r="AA165" s="1700"/>
      <c r="AB165" s="1700"/>
      <c r="AC165" s="1700"/>
      <c r="AE165" s="1490"/>
      <c r="AF165" s="1490"/>
      <c r="AG165" s="1490"/>
      <c r="AH165" s="1490"/>
      <c r="AI165" s="1490"/>
      <c r="AJ165" s="1490"/>
      <c r="AK165" s="1490"/>
      <c r="AL165" s="967"/>
      <c r="AN165" s="281"/>
    </row>
    <row r="166" spans="1:42" s="4" customFormat="1" ht="12.75" customHeight="1">
      <c r="A166" s="120"/>
      <c r="D166" s="26"/>
      <c r="E166" s="1700"/>
      <c r="F166" s="1700"/>
      <c r="G166" s="1700"/>
      <c r="H166" s="1700"/>
      <c r="I166" s="1700"/>
      <c r="J166" s="1700"/>
      <c r="K166" s="1700"/>
      <c r="L166" s="1700"/>
      <c r="M166" s="1700"/>
      <c r="N166" s="1700"/>
      <c r="O166" s="1700"/>
      <c r="P166" s="1700"/>
      <c r="Q166" s="1700"/>
      <c r="R166" s="1700"/>
      <c r="S166" s="1700"/>
      <c r="T166" s="1700"/>
      <c r="U166" s="1700"/>
      <c r="V166" s="1700"/>
      <c r="W166" s="1700"/>
      <c r="X166" s="1700"/>
      <c r="Y166" s="1700"/>
      <c r="Z166" s="1700"/>
      <c r="AA166" s="1700"/>
      <c r="AB166" s="1700"/>
      <c r="AC166" s="170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700" t="s">
        <v>1715</v>
      </c>
      <c r="F168" s="1700"/>
      <c r="G168" s="1700"/>
      <c r="H168" s="1700"/>
      <c r="I168" s="1700"/>
      <c r="J168" s="1700"/>
      <c r="K168" s="1700"/>
      <c r="L168" s="1700"/>
      <c r="M168" s="1700"/>
      <c r="N168" s="1700"/>
      <c r="O168" s="1700"/>
      <c r="P168" s="1700"/>
      <c r="Q168" s="1700"/>
      <c r="R168" s="1700"/>
      <c r="S168" s="1700"/>
      <c r="T168" s="1700"/>
      <c r="U168" s="1700"/>
      <c r="V168" s="1700"/>
      <c r="W168" s="1700"/>
      <c r="X168" s="1700"/>
      <c r="Y168" s="1700"/>
      <c r="Z168" s="1700"/>
      <c r="AA168" s="1700"/>
      <c r="AB168" s="1700"/>
      <c r="AC168" s="1700"/>
      <c r="AE168" s="342"/>
      <c r="AF168" s="1490" t="s">
        <v>60</v>
      </c>
      <c r="AG168" s="1490"/>
      <c r="AH168" s="1490"/>
      <c r="AI168" s="1490"/>
      <c r="AJ168" s="1490"/>
      <c r="AK168" s="1490"/>
      <c r="AL168" s="1490"/>
      <c r="AN168" s="281"/>
    </row>
    <row r="169" spans="1:42" s="4" customFormat="1" ht="12.75" customHeight="1">
      <c r="A169" s="111"/>
      <c r="B169" s="5"/>
      <c r="C169" s="126"/>
      <c r="D169" s="26"/>
      <c r="E169" s="1700"/>
      <c r="F169" s="1700"/>
      <c r="G169" s="1700"/>
      <c r="H169" s="1700"/>
      <c r="I169" s="1700"/>
      <c r="J169" s="1700"/>
      <c r="K169" s="1700"/>
      <c r="L169" s="1700"/>
      <c r="M169" s="1700"/>
      <c r="N169" s="1700"/>
      <c r="O169" s="1700"/>
      <c r="P169" s="1700"/>
      <c r="Q169" s="1700"/>
      <c r="R169" s="1700"/>
      <c r="S169" s="1700"/>
      <c r="T169" s="1700"/>
      <c r="U169" s="1700"/>
      <c r="V169" s="1700"/>
      <c r="W169" s="1700"/>
      <c r="X169" s="1700"/>
      <c r="Y169" s="1700"/>
      <c r="Z169" s="1700"/>
      <c r="AA169" s="1700"/>
      <c r="AB169" s="1700"/>
      <c r="AC169" s="170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700"/>
      <c r="F170" s="1700"/>
      <c r="G170" s="1700"/>
      <c r="H170" s="1700"/>
      <c r="I170" s="1700"/>
      <c r="J170" s="1700"/>
      <c r="K170" s="1700"/>
      <c r="L170" s="1700"/>
      <c r="M170" s="1700"/>
      <c r="N170" s="1700"/>
      <c r="O170" s="1700"/>
      <c r="P170" s="1700"/>
      <c r="Q170" s="1700"/>
      <c r="R170" s="1700"/>
      <c r="S170" s="1700"/>
      <c r="T170" s="1700"/>
      <c r="U170" s="1700"/>
      <c r="V170" s="1700"/>
      <c r="W170" s="1700"/>
      <c r="X170" s="1700"/>
      <c r="Y170" s="1700"/>
      <c r="Z170" s="1700"/>
      <c r="AA170" s="1700"/>
      <c r="AB170" s="1700"/>
      <c r="AC170" s="1700"/>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700" t="s">
        <v>1716</v>
      </c>
      <c r="F172" s="1700"/>
      <c r="G172" s="1700"/>
      <c r="H172" s="1700"/>
      <c r="I172" s="1700"/>
      <c r="J172" s="1700"/>
      <c r="K172" s="1700"/>
      <c r="L172" s="1700"/>
      <c r="M172" s="1700"/>
      <c r="N172" s="1700"/>
      <c r="O172" s="1700"/>
      <c r="P172" s="1700"/>
      <c r="Q172" s="1700"/>
      <c r="R172" s="1700"/>
      <c r="S172" s="1700"/>
      <c r="T172" s="1700"/>
      <c r="U172" s="1700"/>
      <c r="V172" s="1700"/>
      <c r="W172" s="1700"/>
      <c r="X172" s="1700"/>
      <c r="Y172" s="1700"/>
      <c r="Z172" s="1700"/>
      <c r="AA172" s="1700"/>
      <c r="AB172" s="1700"/>
      <c r="AC172" s="1700"/>
      <c r="AE172" s="342"/>
      <c r="AF172" s="1490" t="s">
        <v>61</v>
      </c>
      <c r="AG172" s="1490"/>
      <c r="AH172" s="1490"/>
      <c r="AI172" s="1490"/>
      <c r="AJ172" s="1490"/>
      <c r="AK172" s="1490"/>
      <c r="AL172" s="1490"/>
      <c r="AM172" s="20"/>
      <c r="AN172" s="281"/>
      <c r="AO172" s="26" t="s">
        <v>890</v>
      </c>
      <c r="AP172" s="4">
        <v>3</v>
      </c>
    </row>
    <row r="173" spans="1:42" s="4" customFormat="1" ht="12.75" customHeight="1">
      <c r="B173" s="5"/>
      <c r="C173" s="45"/>
      <c r="D173" s="26"/>
      <c r="E173" s="1700"/>
      <c r="F173" s="1700"/>
      <c r="G173" s="1700"/>
      <c r="H173" s="1700"/>
      <c r="I173" s="1700"/>
      <c r="J173" s="1700"/>
      <c r="K173" s="1700"/>
      <c r="L173" s="1700"/>
      <c r="M173" s="1700"/>
      <c r="N173" s="1700"/>
      <c r="O173" s="1700"/>
      <c r="P173" s="1700"/>
      <c r="Q173" s="1700"/>
      <c r="R173" s="1700"/>
      <c r="S173" s="1700"/>
      <c r="T173" s="1700"/>
      <c r="U173" s="1700"/>
      <c r="V173" s="1700"/>
      <c r="W173" s="1700"/>
      <c r="X173" s="1700"/>
      <c r="Y173" s="1700"/>
      <c r="Z173" s="1700"/>
      <c r="AA173" s="1700"/>
      <c r="AB173" s="1700"/>
      <c r="AC173" s="170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700"/>
      <c r="F174" s="1700"/>
      <c r="G174" s="1700"/>
      <c r="H174" s="1700"/>
      <c r="I174" s="1700"/>
      <c r="J174" s="1700"/>
      <c r="K174" s="1700"/>
      <c r="L174" s="1700"/>
      <c r="M174" s="1700"/>
      <c r="N174" s="1700"/>
      <c r="O174" s="1700"/>
      <c r="P174" s="1700"/>
      <c r="Q174" s="1700"/>
      <c r="R174" s="1700"/>
      <c r="S174" s="1700"/>
      <c r="T174" s="1700"/>
      <c r="U174" s="1700"/>
      <c r="V174" s="1700"/>
      <c r="W174" s="1700"/>
      <c r="X174" s="1700"/>
      <c r="Y174" s="1700"/>
      <c r="Z174" s="1700"/>
      <c r="AA174" s="1700"/>
      <c r="AB174" s="1700"/>
      <c r="AC174" s="170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700" t="s">
        <v>1473</v>
      </c>
      <c r="F176" s="1700"/>
      <c r="G176" s="1700"/>
      <c r="H176" s="1700"/>
      <c r="I176" s="1700"/>
      <c r="J176" s="1700"/>
      <c r="K176" s="1700"/>
      <c r="L176" s="1700"/>
      <c r="M176" s="1700"/>
      <c r="N176" s="1700"/>
      <c r="O176" s="1700"/>
      <c r="P176" s="1700"/>
      <c r="Q176" s="1700"/>
      <c r="R176" s="1700"/>
      <c r="S176" s="1700"/>
      <c r="T176" s="1700"/>
      <c r="U176" s="1700"/>
      <c r="V176" s="1700"/>
      <c r="W176" s="1700"/>
      <c r="X176" s="1700"/>
      <c r="Y176" s="1700"/>
      <c r="Z176" s="1700"/>
      <c r="AA176" s="1700"/>
      <c r="AB176" s="1700"/>
      <c r="AC176" s="1700"/>
      <c r="AE176" s="342"/>
      <c r="AF176" s="1490" t="s">
        <v>103</v>
      </c>
      <c r="AG176" s="1490"/>
      <c r="AH176" s="1490"/>
      <c r="AI176" s="1490"/>
      <c r="AJ176" s="1490"/>
      <c r="AK176" s="1490"/>
      <c r="AL176" s="1490"/>
      <c r="AM176" s="20"/>
      <c r="AN176" s="281"/>
      <c r="AO176" s="26" t="s">
        <v>281</v>
      </c>
      <c r="AP176" s="4">
        <v>1</v>
      </c>
    </row>
    <row r="177" spans="1:61" s="4" customFormat="1" ht="22.95" customHeight="1">
      <c r="A177" s="120"/>
      <c r="B177" s="5"/>
      <c r="C177" s="45"/>
      <c r="D177" s="26"/>
      <c r="E177" s="1700"/>
      <c r="F177" s="1700"/>
      <c r="G177" s="1700"/>
      <c r="H177" s="1700"/>
      <c r="I177" s="1700"/>
      <c r="J177" s="1700"/>
      <c r="K177" s="1700"/>
      <c r="L177" s="1700"/>
      <c r="M177" s="1700"/>
      <c r="N177" s="1700"/>
      <c r="O177" s="1700"/>
      <c r="P177" s="1700"/>
      <c r="Q177" s="1700"/>
      <c r="R177" s="1700"/>
      <c r="S177" s="1700"/>
      <c r="T177" s="1700"/>
      <c r="U177" s="1700"/>
      <c r="V177" s="1700"/>
      <c r="W177" s="1700"/>
      <c r="X177" s="1700"/>
      <c r="Y177" s="1700"/>
      <c r="Z177" s="1700"/>
      <c r="AA177" s="1700"/>
      <c r="AB177" s="1700"/>
      <c r="AC177" s="170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700" t="s">
        <v>1474</v>
      </c>
      <c r="F179" s="1700"/>
      <c r="G179" s="1700"/>
      <c r="H179" s="1700"/>
      <c r="I179" s="1700"/>
      <c r="J179" s="1700"/>
      <c r="K179" s="1700"/>
      <c r="L179" s="1700"/>
      <c r="M179" s="1700"/>
      <c r="N179" s="1700"/>
      <c r="O179" s="1700"/>
      <c r="P179" s="1700"/>
      <c r="Q179" s="1700"/>
      <c r="R179" s="1700"/>
      <c r="S179" s="1700"/>
      <c r="T179" s="1700"/>
      <c r="U179" s="1700"/>
      <c r="V179" s="1700"/>
      <c r="W179" s="1700"/>
      <c r="X179" s="1700"/>
      <c r="Y179" s="1700"/>
      <c r="Z179" s="1700"/>
      <c r="AA179" s="1700"/>
      <c r="AB179" s="1700"/>
      <c r="AC179" s="1700"/>
      <c r="AE179" s="342"/>
      <c r="AF179" s="1490" t="s">
        <v>318</v>
      </c>
      <c r="AG179" s="1490"/>
      <c r="AH179" s="1490"/>
      <c r="AI179" s="1490"/>
      <c r="AJ179" s="1490"/>
      <c r="AK179" s="1490"/>
      <c r="AL179" s="1490"/>
      <c r="AM179" s="20"/>
      <c r="AN179" s="281"/>
    </row>
    <row r="180" spans="1:61" s="4" customFormat="1" ht="22.95" customHeight="1">
      <c r="A180" s="120"/>
      <c r="B180" s="5"/>
      <c r="C180" s="45"/>
      <c r="D180" s="26"/>
      <c r="E180" s="1700"/>
      <c r="F180" s="1700"/>
      <c r="G180" s="1700"/>
      <c r="H180" s="1700"/>
      <c r="I180" s="1700"/>
      <c r="J180" s="1700"/>
      <c r="K180" s="1700"/>
      <c r="L180" s="1700"/>
      <c r="M180" s="1700"/>
      <c r="N180" s="1700"/>
      <c r="O180" s="1700"/>
      <c r="P180" s="1700"/>
      <c r="Q180" s="1700"/>
      <c r="R180" s="1700"/>
      <c r="S180" s="1700"/>
      <c r="T180" s="1700"/>
      <c r="U180" s="1700"/>
      <c r="V180" s="1700"/>
      <c r="W180" s="1700"/>
      <c r="X180" s="1700"/>
      <c r="Y180" s="1700"/>
      <c r="Z180" s="1700"/>
      <c r="AA180" s="1700"/>
      <c r="AB180" s="1700"/>
      <c r="AC180" s="170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37" t="s">
        <v>581</v>
      </c>
      <c r="I182" s="183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312">
        <f>VLOOKUP($H$182,$AO$169:$AP$176,2,FALSE)</f>
        <v>5</v>
      </c>
      <c r="AK184" s="131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74" t="s">
        <v>2311</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D188" s="5"/>
      <c r="AF188" s="1338" t="s">
        <v>61</v>
      </c>
      <c r="AG188" s="1338"/>
      <c r="AH188" s="1338"/>
      <c r="AI188" s="1338"/>
      <c r="AJ188" s="1338"/>
      <c r="AK188" s="1338"/>
      <c r="AL188" s="1338"/>
      <c r="AN188" s="281"/>
    </row>
    <row r="189" spans="1:61" s="4" customFormat="1" ht="12.75" customHeight="1">
      <c r="A189" s="120"/>
      <c r="B189" s="5"/>
      <c r="C189" s="130"/>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D189" s="5"/>
      <c r="AF189" s="1338"/>
      <c r="AG189" s="1338"/>
      <c r="AH189" s="1338"/>
      <c r="AI189" s="1338"/>
      <c r="AJ189" s="1338"/>
      <c r="AK189" s="1338"/>
      <c r="AL189" s="133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700" t="s">
        <v>2234</v>
      </c>
      <c r="F191" s="1700"/>
      <c r="G191" s="1700"/>
      <c r="H191" s="1700"/>
      <c r="I191" s="1700"/>
      <c r="J191" s="1700"/>
      <c r="K191" s="1700"/>
      <c r="L191" s="1700"/>
      <c r="M191" s="1700"/>
      <c r="N191" s="1700"/>
      <c r="O191" s="1700"/>
      <c r="P191" s="1700"/>
      <c r="Q191" s="1700"/>
      <c r="R191" s="1700"/>
      <c r="S191" s="1700"/>
      <c r="T191" s="1700"/>
      <c r="U191" s="1700"/>
      <c r="V191" s="1700"/>
      <c r="W191" s="1700"/>
      <c r="X191" s="1700"/>
      <c r="Y191" s="1700"/>
      <c r="Z191" s="1700"/>
      <c r="AA191" s="1700"/>
      <c r="AB191" s="1700"/>
      <c r="AF191" s="1490" t="s">
        <v>61</v>
      </c>
      <c r="AG191" s="1490"/>
      <c r="AH191" s="1490"/>
      <c r="AI191" s="1490"/>
      <c r="AJ191" s="1490"/>
      <c r="AK191" s="1490"/>
      <c r="AL191" s="1490"/>
      <c r="AN191" s="281"/>
      <c r="AO191" s="26" t="s">
        <v>581</v>
      </c>
      <c r="AP191" s="4">
        <v>3</v>
      </c>
    </row>
    <row r="192" spans="1:61" s="4" customFormat="1" ht="12.75" customHeight="1">
      <c r="B192" s="5"/>
      <c r="C192" s="121"/>
      <c r="E192" s="1700"/>
      <c r="F192" s="1700"/>
      <c r="G192" s="1700"/>
      <c r="H192" s="1700"/>
      <c r="I192" s="1700"/>
      <c r="J192" s="1700"/>
      <c r="K192" s="1700"/>
      <c r="L192" s="1700"/>
      <c r="M192" s="1700"/>
      <c r="N192" s="1700"/>
      <c r="O192" s="1700"/>
      <c r="P192" s="1700"/>
      <c r="Q192" s="1700"/>
      <c r="R192" s="1700"/>
      <c r="S192" s="1700"/>
      <c r="T192" s="1700"/>
      <c r="U192" s="1700"/>
      <c r="V192" s="1700"/>
      <c r="W192" s="1700"/>
      <c r="X192" s="1700"/>
      <c r="Y192" s="1700"/>
      <c r="Z192" s="1700"/>
      <c r="AA192" s="1700"/>
      <c r="AB192" s="1700"/>
      <c r="AE192" s="19"/>
      <c r="AF192" s="1490"/>
      <c r="AG192" s="1490"/>
      <c r="AH192" s="1490"/>
      <c r="AI192" s="1490"/>
      <c r="AJ192" s="1490"/>
      <c r="AK192" s="1490"/>
      <c r="AL192" s="1490"/>
      <c r="AN192" s="281"/>
      <c r="AO192" s="26" t="s">
        <v>197</v>
      </c>
      <c r="AP192" s="26">
        <f>3*$AO$197</f>
        <v>3</v>
      </c>
    </row>
    <row r="193" spans="1:53" s="4" customFormat="1" ht="12.75" customHeight="1">
      <c r="B193" s="5"/>
      <c r="C193" s="121"/>
      <c r="E193" s="1700"/>
      <c r="F193" s="1700"/>
      <c r="G193" s="1700"/>
      <c r="H193" s="1700"/>
      <c r="I193" s="1700"/>
      <c r="J193" s="1700"/>
      <c r="K193" s="1700"/>
      <c r="L193" s="1700"/>
      <c r="M193" s="1700"/>
      <c r="N193" s="1700"/>
      <c r="O193" s="1700"/>
      <c r="P193" s="1700"/>
      <c r="Q193" s="1700"/>
      <c r="R193" s="1700"/>
      <c r="S193" s="1700"/>
      <c r="T193" s="1700"/>
      <c r="U193" s="1700"/>
      <c r="V193" s="1700"/>
      <c r="W193" s="1700"/>
      <c r="X193" s="1700"/>
      <c r="Y193" s="1700"/>
      <c r="Z193" s="1700"/>
      <c r="AA193" s="1700"/>
      <c r="AB193" s="1700"/>
      <c r="AE193" s="19"/>
      <c r="AF193" s="102"/>
      <c r="AG193" s="19"/>
      <c r="AH193" s="19"/>
      <c r="AI193" s="19"/>
      <c r="AJ193" s="19"/>
      <c r="AK193" s="19"/>
      <c r="AL193" s="19"/>
      <c r="AN193" s="281"/>
      <c r="AO193" s="4" t="s">
        <v>890</v>
      </c>
      <c r="AP193" s="26">
        <f>2*$AO$197</f>
        <v>2</v>
      </c>
    </row>
    <row r="194" spans="1:53" s="4" customFormat="1" ht="6.75" customHeight="1">
      <c r="B194" s="5"/>
      <c r="C194" s="121"/>
      <c r="E194" s="1700"/>
      <c r="F194" s="1700"/>
      <c r="G194" s="1700"/>
      <c r="H194" s="1700"/>
      <c r="I194" s="1700"/>
      <c r="J194" s="1700"/>
      <c r="K194" s="1700"/>
      <c r="L194" s="1700"/>
      <c r="M194" s="1700"/>
      <c r="N194" s="1700"/>
      <c r="O194" s="1700"/>
      <c r="P194" s="1700"/>
      <c r="Q194" s="1700"/>
      <c r="R194" s="1700"/>
      <c r="S194" s="1700"/>
      <c r="T194" s="1700"/>
      <c r="U194" s="1700"/>
      <c r="V194" s="1700"/>
      <c r="W194" s="1700"/>
      <c r="X194" s="1700"/>
      <c r="Y194" s="1700"/>
      <c r="Z194" s="1700"/>
      <c r="AA194" s="1700"/>
      <c r="AB194" s="170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700" t="s">
        <v>2235</v>
      </c>
      <c r="F196" s="1700"/>
      <c r="G196" s="1700"/>
      <c r="H196" s="1700"/>
      <c r="I196" s="1700"/>
      <c r="J196" s="1700"/>
      <c r="K196" s="1700"/>
      <c r="L196" s="1700"/>
      <c r="M196" s="1700"/>
      <c r="N196" s="1700"/>
      <c r="O196" s="1700"/>
      <c r="P196" s="1700"/>
      <c r="Q196" s="1700"/>
      <c r="R196" s="1700"/>
      <c r="S196" s="1700"/>
      <c r="T196" s="1700"/>
      <c r="U196" s="1700"/>
      <c r="V196" s="1700"/>
      <c r="W196" s="1700"/>
      <c r="X196" s="1700"/>
      <c r="Y196" s="1700"/>
      <c r="Z196" s="1700"/>
      <c r="AA196" s="1700"/>
      <c r="AB196" s="1700"/>
      <c r="AF196" s="1490" t="s">
        <v>103</v>
      </c>
      <c r="AG196" s="1490"/>
      <c r="AH196" s="1490"/>
      <c r="AI196" s="1490"/>
      <c r="AJ196" s="1490"/>
      <c r="AK196" s="1490"/>
      <c r="AL196" s="1490"/>
      <c r="AN196" s="281"/>
      <c r="AY196" s="4" t="s">
        <v>2236</v>
      </c>
      <c r="AZ196" s="959">
        <f>Application!AC215</f>
        <v>0</v>
      </c>
    </row>
    <row r="197" spans="1:53" s="4" customFormat="1" ht="12.75" customHeight="1">
      <c r="B197" s="5"/>
      <c r="C197" s="45"/>
      <c r="E197" s="1700"/>
      <c r="F197" s="1700"/>
      <c r="G197" s="1700"/>
      <c r="H197" s="1700"/>
      <c r="I197" s="1700"/>
      <c r="J197" s="1700"/>
      <c r="K197" s="1700"/>
      <c r="L197" s="1700"/>
      <c r="M197" s="1700"/>
      <c r="N197" s="1700"/>
      <c r="O197" s="1700"/>
      <c r="P197" s="1700"/>
      <c r="Q197" s="1700"/>
      <c r="R197" s="1700"/>
      <c r="S197" s="1700"/>
      <c r="T197" s="1700"/>
      <c r="U197" s="1700"/>
      <c r="V197" s="1700"/>
      <c r="W197" s="1700"/>
      <c r="X197" s="1700"/>
      <c r="Y197" s="1700"/>
      <c r="Z197" s="1700"/>
      <c r="AA197" s="1700"/>
      <c r="AB197" s="1700"/>
      <c r="AD197" s="5"/>
      <c r="AE197" s="19"/>
      <c r="AF197" s="1490"/>
      <c r="AG197" s="1490"/>
      <c r="AH197" s="1490"/>
      <c r="AI197" s="1490"/>
      <c r="AJ197" s="1490"/>
      <c r="AK197" s="1490"/>
      <c r="AL197" s="1490"/>
      <c r="AN197" s="281"/>
      <c r="AO197" s="127" t="b">
        <f>IF(OR(Application!D214="Special Needs",Application!D211="At-Risk and Special Needs"),IF(BA203&gt;=0.25,TRUE,FALSE),IF(AZ203&gt;=0.25,TRUE,FALSE))</f>
        <v>1</v>
      </c>
      <c r="AY197" s="4" t="s">
        <v>2237</v>
      </c>
      <c r="AZ197" s="959">
        <f>Application!G730</f>
        <v>63</v>
      </c>
    </row>
    <row r="198" spans="1:53" s="4" customFormat="1" ht="12.75" customHeight="1">
      <c r="B198" s="5"/>
      <c r="C198" s="45"/>
      <c r="E198" s="1700"/>
      <c r="F198" s="1700"/>
      <c r="G198" s="1700"/>
      <c r="H198" s="1700"/>
      <c r="I198" s="1700"/>
      <c r="J198" s="1700"/>
      <c r="K198" s="1700"/>
      <c r="L198" s="1700"/>
      <c r="M198" s="1700"/>
      <c r="N198" s="1700"/>
      <c r="O198" s="1700"/>
      <c r="P198" s="1700"/>
      <c r="Q198" s="1700"/>
      <c r="R198" s="1700"/>
      <c r="S198" s="1700"/>
      <c r="T198" s="1700"/>
      <c r="U198" s="1700"/>
      <c r="V198" s="1700"/>
      <c r="W198" s="1700"/>
      <c r="X198" s="1700"/>
      <c r="Y198" s="1700"/>
      <c r="Z198" s="1700"/>
      <c r="AA198" s="1700"/>
      <c r="AB198" s="1700"/>
      <c r="AD198" s="5"/>
      <c r="AE198" s="19"/>
      <c r="AN198" s="281"/>
      <c r="AY198" s="4" t="s">
        <v>2239</v>
      </c>
      <c r="AZ198" s="4">
        <f>Application!CC626</f>
        <v>32</v>
      </c>
    </row>
    <row r="199" spans="1:53" customFormat="1" ht="12.75" customHeight="1">
      <c r="A199" s="4"/>
      <c r="B199" s="5"/>
      <c r="C199" s="45"/>
      <c r="D199" s="4"/>
      <c r="E199" s="1700"/>
      <c r="F199" s="1700"/>
      <c r="G199" s="1700"/>
      <c r="H199" s="1700"/>
      <c r="I199" s="1700"/>
      <c r="J199" s="1700"/>
      <c r="K199" s="1700"/>
      <c r="L199" s="1700"/>
      <c r="M199" s="1700"/>
      <c r="N199" s="1700"/>
      <c r="O199" s="1700"/>
      <c r="P199" s="1700"/>
      <c r="Q199" s="1700"/>
      <c r="R199" s="1700"/>
      <c r="S199" s="1700"/>
      <c r="T199" s="1700"/>
      <c r="U199" s="1700"/>
      <c r="V199" s="1700"/>
      <c r="W199" s="1700"/>
      <c r="X199" s="1700"/>
      <c r="Y199" s="1700"/>
      <c r="Z199" s="1700"/>
      <c r="AA199" s="1700"/>
      <c r="AB199" s="1700"/>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38" t="s">
        <v>2293</v>
      </c>
      <c r="F201" s="1738"/>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1738"/>
      <c r="AB201" s="1738"/>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38"/>
      <c r="F202" s="1738"/>
      <c r="G202" s="1738"/>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4"/>
      <c r="AD202" s="5"/>
      <c r="AE202" s="19"/>
      <c r="AF202" s="19"/>
      <c r="AG202" s="19"/>
      <c r="AH202" s="19"/>
      <c r="AI202" s="19"/>
      <c r="AJ202" s="4"/>
      <c r="AK202" s="4"/>
      <c r="AL202" s="4"/>
      <c r="AM202" s="4"/>
      <c r="AN202" s="204"/>
      <c r="AY202" s="4" t="s">
        <v>2242</v>
      </c>
      <c r="AZ202">
        <f>AZ198+AZ199+AZ201</f>
        <v>32</v>
      </c>
    </row>
    <row r="203" spans="1:53" customFormat="1" ht="18" customHeight="1">
      <c r="A203" s="4"/>
      <c r="B203" s="5"/>
      <c r="C203" s="45"/>
      <c r="D203" s="4"/>
      <c r="E203" s="1738"/>
      <c r="F203" s="1738"/>
      <c r="G203" s="1738"/>
      <c r="H203" s="1738"/>
      <c r="I203" s="1738"/>
      <c r="J203" s="1738"/>
      <c r="K203" s="1738"/>
      <c r="L203" s="1738"/>
      <c r="M203" s="1738"/>
      <c r="N203" s="1738"/>
      <c r="O203" s="1738"/>
      <c r="P203" s="1738"/>
      <c r="Q203" s="1738"/>
      <c r="R203" s="1738"/>
      <c r="S203" s="1738"/>
      <c r="T203" s="1738"/>
      <c r="U203" s="1738"/>
      <c r="V203" s="1738"/>
      <c r="W203" s="1738"/>
      <c r="X203" s="1738"/>
      <c r="Y203" s="1738"/>
      <c r="Z203" s="1738"/>
      <c r="AA203" s="1738"/>
      <c r="AB203" s="1738"/>
      <c r="AC203" s="4"/>
      <c r="AD203" s="5"/>
      <c r="AE203" s="19"/>
      <c r="AF203" s="19"/>
      <c r="AG203" s="19"/>
      <c r="AH203" s="19"/>
      <c r="AI203" s="19"/>
      <c r="AJ203" s="4"/>
      <c r="AK203" s="4"/>
      <c r="AL203" s="4"/>
      <c r="AM203" s="4"/>
      <c r="AN203" s="204"/>
      <c r="AY203" s="4" t="s">
        <v>2243</v>
      </c>
      <c r="AZ203">
        <f>IFERROR(AZ202/AZ197,0)</f>
        <v>0.50793650793650791</v>
      </c>
      <c r="BA203">
        <f>IFERROR(AZ202/(AZ197-AZ196),0)</f>
        <v>0.50793650793650791</v>
      </c>
    </row>
    <row r="204" spans="1:53" customFormat="1" ht="12.75" customHeight="1">
      <c r="A204" s="4"/>
      <c r="B204" s="5"/>
      <c r="C204" s="45"/>
      <c r="D204" s="4" t="s">
        <v>147</v>
      </c>
      <c r="E204" s="116"/>
      <c r="F204" s="116"/>
      <c r="G204" s="116"/>
      <c r="H204" s="1837" t="s">
        <v>197</v>
      </c>
      <c r="I204" s="183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312">
        <f>VLOOKUP($H$204,$AO$190:$AP$193,2,FALSE)</f>
        <v>3</v>
      </c>
      <c r="AK206" s="131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36" t="s">
        <v>1254</v>
      </c>
      <c r="F210" s="1836"/>
      <c r="G210" s="1836"/>
      <c r="H210" s="1836"/>
      <c r="I210" s="1836"/>
      <c r="J210" s="1836"/>
      <c r="K210" s="1836"/>
      <c r="L210" s="1836"/>
      <c r="M210" s="1836"/>
      <c r="N210" s="1836"/>
      <c r="O210" s="1836"/>
      <c r="P210" s="1836"/>
      <c r="Q210" s="1836"/>
      <c r="R210" s="1836"/>
      <c r="S210" s="1836"/>
      <c r="T210" s="1836"/>
      <c r="U210" s="1836"/>
      <c r="V210" s="1836"/>
      <c r="W210" s="1836"/>
      <c r="X210" s="1836"/>
      <c r="Y210" s="1836"/>
      <c r="Z210" s="1836"/>
      <c r="AA210" s="1836"/>
      <c r="AB210" s="1836"/>
      <c r="AC210" s="4"/>
      <c r="AD210" s="4"/>
      <c r="AF210" s="1736" t="s">
        <v>61</v>
      </c>
      <c r="AG210" s="1736"/>
      <c r="AH210" s="1736"/>
      <c r="AI210" s="1736"/>
      <c r="AJ210" s="1736"/>
      <c r="AK210" s="1736"/>
      <c r="AL210" s="1736"/>
      <c r="AM210" s="4"/>
      <c r="AN210" s="204"/>
      <c r="AO210" s="4" t="s">
        <v>124</v>
      </c>
      <c r="AP210" s="472">
        <v>0</v>
      </c>
    </row>
    <row r="211" spans="1:52" customFormat="1" ht="11.85" customHeight="1">
      <c r="A211" s="4"/>
      <c r="B211" s="5"/>
      <c r="C211" s="115"/>
      <c r="D211" s="26"/>
      <c r="E211" s="1836"/>
      <c r="F211" s="1836"/>
      <c r="G211" s="1836"/>
      <c r="H211" s="1836"/>
      <c r="I211" s="1836"/>
      <c r="J211" s="1836"/>
      <c r="K211" s="1836"/>
      <c r="L211" s="1836"/>
      <c r="M211" s="1836"/>
      <c r="N211" s="1836"/>
      <c r="O211" s="1836"/>
      <c r="P211" s="1836"/>
      <c r="Q211" s="1836"/>
      <c r="R211" s="1836"/>
      <c r="S211" s="1836"/>
      <c r="T211" s="1836"/>
      <c r="U211" s="1836"/>
      <c r="V211" s="1836"/>
      <c r="W211" s="1836"/>
      <c r="X211" s="1836"/>
      <c r="Y211" s="1836"/>
      <c r="Z211" s="1836"/>
      <c r="AA211" s="1836"/>
      <c r="AB211" s="1836"/>
      <c r="AC211" s="4"/>
      <c r="AD211" s="4"/>
      <c r="AE211" s="4"/>
      <c r="AM211" s="4"/>
      <c r="AN211" s="204"/>
      <c r="AO211" s="26" t="s">
        <v>581</v>
      </c>
      <c r="AP211" s="4">
        <v>3</v>
      </c>
    </row>
    <row r="212" spans="1:52" customFormat="1" ht="13.95" customHeight="1">
      <c r="A212" s="4"/>
      <c r="B212" s="42"/>
      <c r="C212" s="45"/>
      <c r="D212" s="26"/>
      <c r="E212" s="1836"/>
      <c r="F212" s="1836"/>
      <c r="G212" s="1836"/>
      <c r="H212" s="1836"/>
      <c r="I212" s="1836"/>
      <c r="J212" s="1836"/>
      <c r="K212" s="1836"/>
      <c r="L212" s="1836"/>
      <c r="M212" s="1836"/>
      <c r="N212" s="1836"/>
      <c r="O212" s="1836"/>
      <c r="P212" s="1836"/>
      <c r="Q212" s="1836"/>
      <c r="R212" s="1836"/>
      <c r="S212" s="1836"/>
      <c r="T212" s="1836"/>
      <c r="U212" s="1836"/>
      <c r="V212" s="1836"/>
      <c r="W212" s="1836"/>
      <c r="X212" s="1836"/>
      <c r="Y212" s="1836"/>
      <c r="Z212" s="1836"/>
      <c r="AA212" s="1836"/>
      <c r="AB212" s="1836"/>
      <c r="AC212" s="4"/>
      <c r="AD212" s="4"/>
      <c r="AE212" s="19"/>
      <c r="AM212" s="4"/>
      <c r="AN212" s="204"/>
      <c r="AO212" s="26" t="s">
        <v>197</v>
      </c>
      <c r="AP212" s="4">
        <v>2</v>
      </c>
    </row>
    <row r="213" spans="1:52" customFormat="1" ht="13.95" customHeight="1">
      <c r="A213" s="4"/>
      <c r="B213" s="5"/>
      <c r="C213" s="45"/>
      <c r="D213" s="26" t="s">
        <v>197</v>
      </c>
      <c r="E213" s="1901" t="s">
        <v>1255</v>
      </c>
      <c r="F213" s="1901"/>
      <c r="G213" s="1901"/>
      <c r="H213" s="1901"/>
      <c r="I213" s="1901"/>
      <c r="J213" s="1901"/>
      <c r="K213" s="1901"/>
      <c r="L213" s="1901"/>
      <c r="M213" s="1901"/>
      <c r="N213" s="1901"/>
      <c r="O213" s="1901"/>
      <c r="P213" s="1901"/>
      <c r="Q213" s="1901"/>
      <c r="R213" s="1901"/>
      <c r="S213" s="1901"/>
      <c r="T213" s="1901"/>
      <c r="U213" s="1901"/>
      <c r="V213" s="1901"/>
      <c r="W213" s="1901"/>
      <c r="X213" s="1901"/>
      <c r="Y213" s="1901"/>
      <c r="Z213" s="1901"/>
      <c r="AA213" s="1901"/>
      <c r="AB213" s="1901"/>
      <c r="AC213" s="4"/>
      <c r="AD213" s="4"/>
      <c r="AF213" s="1736" t="s">
        <v>103</v>
      </c>
      <c r="AG213" s="1736"/>
      <c r="AH213" s="1736"/>
      <c r="AI213" s="1736"/>
      <c r="AJ213" s="1736"/>
      <c r="AK213" s="1736"/>
      <c r="AL213" s="1736"/>
      <c r="AM213" s="4"/>
      <c r="AN213" s="673"/>
      <c r="AP213" s="21"/>
    </row>
    <row r="214" spans="1:52" customFormat="1" ht="12.75" customHeight="1">
      <c r="A214" s="4"/>
      <c r="B214" s="5"/>
      <c r="C214" s="115"/>
      <c r="D214" s="4"/>
      <c r="E214" s="1901"/>
      <c r="F214" s="1901"/>
      <c r="G214" s="1901"/>
      <c r="H214" s="1901"/>
      <c r="I214" s="1901"/>
      <c r="J214" s="1901"/>
      <c r="K214" s="1901"/>
      <c r="L214" s="1901"/>
      <c r="M214" s="1901"/>
      <c r="N214" s="1901"/>
      <c r="O214" s="1901"/>
      <c r="P214" s="1901"/>
      <c r="Q214" s="1901"/>
      <c r="R214" s="1901"/>
      <c r="S214" s="1901"/>
      <c r="T214" s="1901"/>
      <c r="U214" s="1901"/>
      <c r="V214" s="1901"/>
      <c r="W214" s="1901"/>
      <c r="X214" s="1901"/>
      <c r="Y214" s="1901"/>
      <c r="Z214" s="1901"/>
      <c r="AA214" s="1901"/>
      <c r="AB214" s="1901"/>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901"/>
      <c r="F215" s="1901"/>
      <c r="G215" s="1901"/>
      <c r="H215" s="1901"/>
      <c r="I215" s="1901"/>
      <c r="J215" s="1901"/>
      <c r="K215" s="1901"/>
      <c r="L215" s="1901"/>
      <c r="M215" s="1901"/>
      <c r="N215" s="1901"/>
      <c r="O215" s="1901"/>
      <c r="P215" s="1901"/>
      <c r="Q215" s="1901"/>
      <c r="R215" s="1901"/>
      <c r="S215" s="1901"/>
      <c r="T215" s="1901"/>
      <c r="U215" s="1901"/>
      <c r="V215" s="1901"/>
      <c r="W215" s="1901"/>
      <c r="X215" s="1901"/>
      <c r="Y215" s="1901"/>
      <c r="Z215" s="1901"/>
      <c r="AA215" s="1901"/>
      <c r="AB215" s="1901"/>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37" t="s">
        <v>124</v>
      </c>
      <c r="I216" s="183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312">
        <f>VLOOKUP($H$216,$AO$210:$AP$212,2,FALSE)</f>
        <v>0</v>
      </c>
      <c r="AK218" s="1314"/>
      <c r="AL218" s="10"/>
      <c r="AM218" s="4"/>
      <c r="AN218" s="204"/>
      <c r="AP218" s="1312"/>
      <c r="AQ218" s="131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700" t="s">
        <v>1490</v>
      </c>
      <c r="F222" s="1700"/>
      <c r="G222" s="1700"/>
      <c r="H222" s="1700"/>
      <c r="I222" s="1700"/>
      <c r="J222" s="1700"/>
      <c r="K222" s="1700"/>
      <c r="L222" s="1700"/>
      <c r="M222" s="1700"/>
      <c r="N222" s="1700"/>
      <c r="O222" s="1700"/>
      <c r="P222" s="1700"/>
      <c r="Q222" s="1700"/>
      <c r="R222" s="1700"/>
      <c r="S222" s="1700"/>
      <c r="T222" s="1700"/>
      <c r="U222" s="1700"/>
      <c r="V222" s="1700"/>
      <c r="W222" s="1700"/>
      <c r="X222" s="1700"/>
      <c r="Y222" s="1700"/>
      <c r="Z222" s="1700"/>
      <c r="AA222" s="1700"/>
      <c r="AB222" s="1700"/>
      <c r="AC222" s="4"/>
      <c r="AD222" s="4"/>
      <c r="AF222" s="1736" t="s">
        <v>61</v>
      </c>
      <c r="AG222" s="1736"/>
      <c r="AH222" s="1736"/>
      <c r="AI222" s="1736"/>
      <c r="AJ222" s="1736"/>
      <c r="AK222" s="1736"/>
      <c r="AL222" s="1736"/>
      <c r="AM222" s="4"/>
      <c r="AN222" s="204"/>
      <c r="AO222" s="38"/>
      <c r="AP222" s="21"/>
      <c r="AT222" s="21"/>
      <c r="AU222" s="21"/>
      <c r="AV222" s="21"/>
      <c r="AW222" s="21"/>
      <c r="AX222" s="21"/>
      <c r="AY222" s="21"/>
      <c r="AZ222" s="21"/>
    </row>
    <row r="223" spans="1:52" customFormat="1">
      <c r="A223" s="4"/>
      <c r="B223" s="5"/>
      <c r="C223" s="115"/>
      <c r="D223" s="26"/>
      <c r="E223" s="1700"/>
      <c r="F223" s="1700"/>
      <c r="G223" s="1700"/>
      <c r="H223" s="1700"/>
      <c r="I223" s="1700"/>
      <c r="J223" s="1700"/>
      <c r="K223" s="1700"/>
      <c r="L223" s="1700"/>
      <c r="M223" s="1700"/>
      <c r="N223" s="1700"/>
      <c r="O223" s="1700"/>
      <c r="P223" s="1700"/>
      <c r="Q223" s="1700"/>
      <c r="R223" s="1700"/>
      <c r="S223" s="1700"/>
      <c r="T223" s="1700"/>
      <c r="U223" s="1700"/>
      <c r="V223" s="1700"/>
      <c r="W223" s="1700"/>
      <c r="X223" s="1700"/>
      <c r="Y223" s="1700"/>
      <c r="Z223" s="1700"/>
      <c r="AA223" s="1700"/>
      <c r="AB223" s="170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700" t="s">
        <v>882</v>
      </c>
      <c r="F225" s="1700"/>
      <c r="G225" s="1700"/>
      <c r="H225" s="1700"/>
      <c r="I225" s="1700"/>
      <c r="J225" s="1700"/>
      <c r="K225" s="1700"/>
      <c r="L225" s="1700"/>
      <c r="M225" s="1700"/>
      <c r="N225" s="1700"/>
      <c r="O225" s="1700"/>
      <c r="P225" s="1700"/>
      <c r="Q225" s="1700"/>
      <c r="R225" s="1700"/>
      <c r="S225" s="1700"/>
      <c r="T225" s="1700"/>
      <c r="U225" s="1700"/>
      <c r="V225" s="1700"/>
      <c r="W225" s="1700"/>
      <c r="X225" s="1700"/>
      <c r="Y225" s="1700"/>
      <c r="Z225" s="1700"/>
      <c r="AA225" s="1700"/>
      <c r="AB225" s="1700"/>
      <c r="AC225" s="4"/>
      <c r="AD225" s="4"/>
      <c r="AF225" s="1736" t="s">
        <v>103</v>
      </c>
      <c r="AG225" s="1736"/>
      <c r="AH225" s="1736"/>
      <c r="AI225" s="1736"/>
      <c r="AJ225" s="1736"/>
      <c r="AK225" s="1736"/>
      <c r="AL225" s="1736"/>
      <c r="AM225" s="4"/>
      <c r="AN225" s="204"/>
      <c r="AO225" s="4" t="s">
        <v>124</v>
      </c>
      <c r="AP225" s="472">
        <v>0</v>
      </c>
      <c r="AT225" s="21"/>
      <c r="AU225" s="21"/>
      <c r="AV225" s="21"/>
      <c r="AW225" s="21"/>
      <c r="AX225" s="21"/>
      <c r="AY225" s="21"/>
      <c r="AZ225" s="21"/>
    </row>
    <row r="226" spans="1:82" customFormat="1">
      <c r="A226" s="4"/>
      <c r="B226" s="5"/>
      <c r="C226" s="115"/>
      <c r="D226" s="4"/>
      <c r="E226" s="1700"/>
      <c r="F226" s="1700"/>
      <c r="G226" s="1700"/>
      <c r="H226" s="1700"/>
      <c r="I226" s="1700"/>
      <c r="J226" s="1700"/>
      <c r="K226" s="1700"/>
      <c r="L226" s="1700"/>
      <c r="M226" s="1700"/>
      <c r="N226" s="1700"/>
      <c r="O226" s="1700"/>
      <c r="P226" s="1700"/>
      <c r="Q226" s="1700"/>
      <c r="R226" s="1700"/>
      <c r="S226" s="1700"/>
      <c r="T226" s="1700"/>
      <c r="U226" s="1700"/>
      <c r="V226" s="1700"/>
      <c r="W226" s="1700"/>
      <c r="X226" s="1700"/>
      <c r="Y226" s="1700"/>
      <c r="Z226" s="1700"/>
      <c r="AA226" s="1700"/>
      <c r="AB226" s="170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37" t="s">
        <v>124</v>
      </c>
      <c r="I228" s="183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312">
        <f>VLOOKUP($H$228,$AO$225:$AP$227,2,FALSE)</f>
        <v>0</v>
      </c>
      <c r="AK230" s="131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0" t="s">
        <v>1123</v>
      </c>
      <c r="F234" s="1700"/>
      <c r="G234" s="1700"/>
      <c r="H234" s="1700"/>
      <c r="I234" s="1700"/>
      <c r="J234" s="1700"/>
      <c r="K234" s="1700"/>
      <c r="L234" s="1700"/>
      <c r="M234" s="1700"/>
      <c r="N234" s="1700"/>
      <c r="O234" s="1700"/>
      <c r="P234" s="1700"/>
      <c r="Q234" s="1700"/>
      <c r="R234" s="1700"/>
      <c r="S234" s="1700"/>
      <c r="T234" s="1700"/>
      <c r="U234" s="1700"/>
      <c r="V234" s="1700"/>
      <c r="W234" s="1700"/>
      <c r="X234" s="1700"/>
      <c r="Y234" s="1700"/>
      <c r="Z234" s="1700"/>
      <c r="AA234" s="1700"/>
      <c r="AB234" s="1700"/>
      <c r="AC234" s="4"/>
      <c r="AD234" s="4"/>
      <c r="AF234" s="1736" t="s">
        <v>61</v>
      </c>
      <c r="AG234" s="1736"/>
      <c r="AH234" s="1736"/>
      <c r="AI234" s="1736"/>
      <c r="AJ234" s="1736"/>
      <c r="AK234" s="1736"/>
      <c r="AL234" s="1736"/>
      <c r="AM234" s="4"/>
      <c r="AN234" s="204"/>
      <c r="AT234" s="21"/>
      <c r="AU234" s="21"/>
      <c r="AV234" s="21"/>
      <c r="AW234" s="21"/>
      <c r="AX234" s="21"/>
      <c r="AY234" s="21"/>
      <c r="AZ234" s="21"/>
    </row>
    <row r="235" spans="1:82" customFormat="1">
      <c r="A235" s="4"/>
      <c r="B235" s="5"/>
      <c r="C235" s="115"/>
      <c r="D235" s="26"/>
      <c r="E235" s="1700"/>
      <c r="F235" s="1700"/>
      <c r="G235" s="1700"/>
      <c r="H235" s="1700"/>
      <c r="I235" s="1700"/>
      <c r="J235" s="1700"/>
      <c r="K235" s="1700"/>
      <c r="L235" s="1700"/>
      <c r="M235" s="1700"/>
      <c r="N235" s="1700"/>
      <c r="O235" s="1700"/>
      <c r="P235" s="1700"/>
      <c r="Q235" s="1700"/>
      <c r="R235" s="1700"/>
      <c r="S235" s="1700"/>
      <c r="T235" s="1700"/>
      <c r="U235" s="1700"/>
      <c r="V235" s="1700"/>
      <c r="W235" s="1700"/>
      <c r="X235" s="1700"/>
      <c r="Y235" s="1700"/>
      <c r="Z235" s="1700"/>
      <c r="AA235" s="1700"/>
      <c r="AB235" s="1700"/>
      <c r="AC235" s="4"/>
      <c r="AD235" s="4"/>
      <c r="AL235" s="4"/>
      <c r="AM235" s="4"/>
      <c r="AN235" s="204"/>
    </row>
    <row r="236" spans="1:82" customFormat="1" ht="12.75" customHeight="1">
      <c r="A236" s="4"/>
      <c r="B236" s="5"/>
      <c r="C236" s="115"/>
      <c r="D236" s="26"/>
      <c r="E236" s="1700"/>
      <c r="F236" s="1700"/>
      <c r="G236" s="1700"/>
      <c r="H236" s="1700"/>
      <c r="I236" s="1700"/>
      <c r="J236" s="1700"/>
      <c r="K236" s="1700"/>
      <c r="L236" s="1700"/>
      <c r="M236" s="1700"/>
      <c r="N236" s="1700"/>
      <c r="O236" s="1700"/>
      <c r="P236" s="1700"/>
      <c r="Q236" s="1700"/>
      <c r="R236" s="1700"/>
      <c r="S236" s="1700"/>
      <c r="T236" s="1700"/>
      <c r="U236" s="1700"/>
      <c r="V236" s="1700"/>
      <c r="W236" s="1700"/>
      <c r="X236" s="1700"/>
      <c r="Y236" s="1700"/>
      <c r="Z236" s="1700"/>
      <c r="AA236" s="1700"/>
      <c r="AB236" s="170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700" t="s">
        <v>1124</v>
      </c>
      <c r="F238" s="1700"/>
      <c r="G238" s="1700"/>
      <c r="H238" s="1700"/>
      <c r="I238" s="1700"/>
      <c r="J238" s="1700"/>
      <c r="K238" s="1700"/>
      <c r="L238" s="1700"/>
      <c r="M238" s="1700"/>
      <c r="N238" s="1700"/>
      <c r="O238" s="1700"/>
      <c r="P238" s="1700"/>
      <c r="Q238" s="1700"/>
      <c r="R238" s="1700"/>
      <c r="S238" s="1700"/>
      <c r="T238" s="1700"/>
      <c r="U238" s="1700"/>
      <c r="V238" s="1700"/>
      <c r="W238" s="1700"/>
      <c r="X238" s="1700"/>
      <c r="Y238" s="1700"/>
      <c r="Z238" s="1700"/>
      <c r="AA238" s="1700"/>
      <c r="AB238" s="343"/>
      <c r="AC238" s="4"/>
      <c r="AD238" s="4"/>
      <c r="AF238" s="1736" t="s">
        <v>103</v>
      </c>
      <c r="AG238" s="1736"/>
      <c r="AH238" s="1736"/>
      <c r="AI238" s="1736"/>
      <c r="AJ238" s="1736"/>
      <c r="AK238" s="1736"/>
      <c r="AL238" s="1736"/>
      <c r="AM238" s="4"/>
      <c r="AN238" s="204"/>
      <c r="AO238" s="38"/>
      <c r="AP238" s="21"/>
    </row>
    <row r="239" spans="1:82" customFormat="1">
      <c r="A239" s="4"/>
      <c r="B239" s="5"/>
      <c r="C239" s="45"/>
      <c r="D239" s="4"/>
      <c r="E239" s="1700"/>
      <c r="F239" s="1700"/>
      <c r="G239" s="1700"/>
      <c r="H239" s="1700"/>
      <c r="I239" s="1700"/>
      <c r="J239" s="1700"/>
      <c r="K239" s="1700"/>
      <c r="L239" s="1700"/>
      <c r="M239" s="1700"/>
      <c r="N239" s="1700"/>
      <c r="O239" s="1700"/>
      <c r="P239" s="1700"/>
      <c r="Q239" s="1700"/>
      <c r="R239" s="1700"/>
      <c r="S239" s="1700"/>
      <c r="T239" s="1700"/>
      <c r="U239" s="1700"/>
      <c r="V239" s="1700"/>
      <c r="W239" s="1700"/>
      <c r="X239" s="1700"/>
      <c r="Y239" s="1700"/>
      <c r="Z239" s="1700"/>
      <c r="AA239" s="170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700"/>
      <c r="F240" s="1700"/>
      <c r="G240" s="1700"/>
      <c r="H240" s="1700"/>
      <c r="I240" s="1700"/>
      <c r="J240" s="1700"/>
      <c r="K240" s="1700"/>
      <c r="L240" s="1700"/>
      <c r="M240" s="1700"/>
      <c r="N240" s="1700"/>
      <c r="O240" s="1700"/>
      <c r="P240" s="1700"/>
      <c r="Q240" s="1700"/>
      <c r="R240" s="1700"/>
      <c r="S240" s="1700"/>
      <c r="T240" s="1700"/>
      <c r="U240" s="1700"/>
      <c r="V240" s="1700"/>
      <c r="W240" s="1700"/>
      <c r="X240" s="1700"/>
      <c r="Y240" s="1700"/>
      <c r="Z240" s="1700"/>
      <c r="AA240" s="170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37" t="s">
        <v>581</v>
      </c>
      <c r="I242" s="183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312">
        <f>VLOOKUP($H$242,$AO$225:$AP$227,2,FALSE)</f>
        <v>3</v>
      </c>
      <c r="AK244" s="131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0" t="s">
        <v>317</v>
      </c>
      <c r="F248" s="1700"/>
      <c r="G248" s="1700"/>
      <c r="H248" s="1700"/>
      <c r="I248" s="1700"/>
      <c r="J248" s="1700"/>
      <c r="K248" s="1700"/>
      <c r="L248" s="1700"/>
      <c r="M248" s="1700"/>
      <c r="N248" s="1700"/>
      <c r="O248" s="1700"/>
      <c r="P248" s="1700"/>
      <c r="Q248" s="1700"/>
      <c r="R248" s="1700"/>
      <c r="S248" s="1700"/>
      <c r="T248" s="1700"/>
      <c r="U248" s="1700"/>
      <c r="V248" s="1700"/>
      <c r="W248" s="1700"/>
      <c r="X248" s="1700"/>
      <c r="Y248" s="1700"/>
      <c r="Z248" s="1700"/>
      <c r="AA248" s="1700"/>
      <c r="AB248" s="1700"/>
      <c r="AC248" s="4"/>
      <c r="AD248" s="4"/>
      <c r="AF248" s="1736" t="s">
        <v>103</v>
      </c>
      <c r="AG248" s="1736"/>
      <c r="AH248" s="1736"/>
      <c r="AI248" s="1736"/>
      <c r="AJ248" s="1736"/>
      <c r="AK248" s="1736"/>
      <c r="AL248" s="173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700"/>
      <c r="F249" s="1700"/>
      <c r="G249" s="1700"/>
      <c r="H249" s="1700"/>
      <c r="I249" s="1700"/>
      <c r="J249" s="1700"/>
      <c r="K249" s="1700"/>
      <c r="L249" s="1700"/>
      <c r="M249" s="1700"/>
      <c r="N249" s="1700"/>
      <c r="O249" s="1700"/>
      <c r="P249" s="1700"/>
      <c r="Q249" s="1700"/>
      <c r="R249" s="1700"/>
      <c r="S249" s="1700"/>
      <c r="T249" s="1700"/>
      <c r="U249" s="1700"/>
      <c r="V249" s="1700"/>
      <c r="W249" s="1700"/>
      <c r="X249" s="1700"/>
      <c r="Y249" s="1700"/>
      <c r="Z249" s="1700"/>
      <c r="AA249" s="1700"/>
      <c r="AB249" s="170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0" t="s">
        <v>1256</v>
      </c>
      <c r="F251" s="1700"/>
      <c r="G251" s="1700"/>
      <c r="H251" s="1700"/>
      <c r="I251" s="1700"/>
      <c r="J251" s="1700"/>
      <c r="K251" s="1700"/>
      <c r="L251" s="1700"/>
      <c r="M251" s="1700"/>
      <c r="N251" s="1700"/>
      <c r="O251" s="1700"/>
      <c r="P251" s="1700"/>
      <c r="Q251" s="1700"/>
      <c r="R251" s="1700"/>
      <c r="S251" s="1700"/>
      <c r="T251" s="1700"/>
      <c r="U251" s="1700"/>
      <c r="V251" s="1700"/>
      <c r="W251" s="1700"/>
      <c r="X251" s="1700"/>
      <c r="Y251" s="1700"/>
      <c r="Z251" s="1700"/>
      <c r="AA251" s="1700"/>
      <c r="AB251" s="1700"/>
      <c r="AC251" s="4"/>
      <c r="AD251" s="4"/>
      <c r="AF251" s="1736" t="s">
        <v>318</v>
      </c>
      <c r="AG251" s="1736"/>
      <c r="AH251" s="1736"/>
      <c r="AI251" s="1736"/>
      <c r="AJ251" s="1736"/>
      <c r="AK251" s="1736"/>
      <c r="AL251" s="173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0"/>
      <c r="F252" s="1700"/>
      <c r="G252" s="1700"/>
      <c r="H252" s="1700"/>
      <c r="I252" s="1700"/>
      <c r="J252" s="1700"/>
      <c r="K252" s="1700"/>
      <c r="L252" s="1700"/>
      <c r="M252" s="1700"/>
      <c r="N252" s="1700"/>
      <c r="O252" s="1700"/>
      <c r="P252" s="1700"/>
      <c r="Q252" s="1700"/>
      <c r="R252" s="1700"/>
      <c r="S252" s="1700"/>
      <c r="T252" s="1700"/>
      <c r="U252" s="1700"/>
      <c r="V252" s="1700"/>
      <c r="W252" s="1700"/>
      <c r="X252" s="1700"/>
      <c r="Y252" s="1700"/>
      <c r="Z252" s="1700"/>
      <c r="AA252" s="1700"/>
      <c r="AB252" s="170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37" t="s">
        <v>581</v>
      </c>
      <c r="I254" s="183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312">
        <f>VLOOKUP($H$254,$AO$246:$AP$248,2,FALSE)</f>
        <v>2</v>
      </c>
      <c r="AK256" s="131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700" t="s">
        <v>1949</v>
      </c>
      <c r="F260" s="1700"/>
      <c r="G260" s="1700"/>
      <c r="H260" s="1700"/>
      <c r="I260" s="1700"/>
      <c r="J260" s="1700"/>
      <c r="K260" s="1700"/>
      <c r="L260" s="1700"/>
      <c r="M260" s="1700"/>
      <c r="N260" s="1700"/>
      <c r="O260" s="1700"/>
      <c r="P260" s="1700"/>
      <c r="Q260" s="1700"/>
      <c r="R260" s="1700"/>
      <c r="S260" s="1700"/>
      <c r="T260" s="1700"/>
      <c r="U260" s="1700"/>
      <c r="V260" s="1700"/>
      <c r="W260" s="1700"/>
      <c r="X260" s="1700"/>
      <c r="Y260" s="1700"/>
      <c r="Z260" s="1700"/>
      <c r="AA260" s="1700"/>
      <c r="AB260" s="1700"/>
      <c r="AC260" s="1700"/>
      <c r="AD260" s="1700"/>
      <c r="AF260" s="1736" t="s">
        <v>103</v>
      </c>
      <c r="AG260" s="1736"/>
      <c r="AH260" s="1736"/>
      <c r="AI260" s="1736"/>
      <c r="AJ260" s="1736"/>
      <c r="AK260" s="1736"/>
      <c r="AL260" s="1736"/>
      <c r="AM260" s="104"/>
      <c r="AN260" s="204"/>
      <c r="AO260" s="4" t="s">
        <v>124</v>
      </c>
      <c r="AP260" s="472">
        <v>0</v>
      </c>
    </row>
    <row r="261" spans="1:82" customFormat="1">
      <c r="A261" s="4"/>
      <c r="B261" s="102"/>
      <c r="C261" s="137"/>
      <c r="D261" s="26"/>
      <c r="E261" s="1700"/>
      <c r="F261" s="1700"/>
      <c r="G261" s="1700"/>
      <c r="H261" s="1700"/>
      <c r="I261" s="1700"/>
      <c r="J261" s="1700"/>
      <c r="K261" s="1700"/>
      <c r="L261" s="1700"/>
      <c r="M261" s="1700"/>
      <c r="N261" s="1700"/>
      <c r="O261" s="1700"/>
      <c r="P261" s="1700"/>
      <c r="Q261" s="1700"/>
      <c r="R261" s="1700"/>
      <c r="S261" s="1700"/>
      <c r="T261" s="1700"/>
      <c r="U261" s="1700"/>
      <c r="V261" s="1700"/>
      <c r="W261" s="1700"/>
      <c r="X261" s="1700"/>
      <c r="Y261" s="1700"/>
      <c r="Z261" s="1700"/>
      <c r="AA261" s="1700"/>
      <c r="AB261" s="1700"/>
      <c r="AC261" s="1700"/>
      <c r="AD261" s="1700"/>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700"/>
      <c r="F262" s="1700"/>
      <c r="G262" s="1700"/>
      <c r="H262" s="1700"/>
      <c r="I262" s="1700"/>
      <c r="J262" s="1700"/>
      <c r="K262" s="1700"/>
      <c r="L262" s="1700"/>
      <c r="M262" s="1700"/>
      <c r="N262" s="1700"/>
      <c r="O262" s="1700"/>
      <c r="P262" s="1700"/>
      <c r="Q262" s="1700"/>
      <c r="R262" s="1700"/>
      <c r="S262" s="1700"/>
      <c r="T262" s="1700"/>
      <c r="U262" s="1700"/>
      <c r="V262" s="1700"/>
      <c r="W262" s="1700"/>
      <c r="X262" s="1700"/>
      <c r="Y262" s="1700"/>
      <c r="Z262" s="1700"/>
      <c r="AA262" s="1700"/>
      <c r="AB262" s="1700"/>
      <c r="AC262" s="1700"/>
      <c r="AD262" s="170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906" t="s">
        <v>1950</v>
      </c>
      <c r="F264" s="1906"/>
      <c r="G264" s="1906"/>
      <c r="H264" s="1906"/>
      <c r="I264" s="1906"/>
      <c r="J264" s="1906"/>
      <c r="K264" s="1906"/>
      <c r="L264" s="1906"/>
      <c r="M264" s="1906"/>
      <c r="N264" s="1906"/>
      <c r="O264" s="1906"/>
      <c r="P264" s="1906"/>
      <c r="Q264" s="1906"/>
      <c r="R264" s="1906"/>
      <c r="S264" s="1906"/>
      <c r="T264" s="1906"/>
      <c r="U264" s="1906"/>
      <c r="V264" s="1906"/>
      <c r="W264" s="1906"/>
      <c r="X264" s="1906"/>
      <c r="Y264" s="1906"/>
      <c r="Z264" s="1906"/>
      <c r="AA264" s="1906"/>
      <c r="AB264" s="1906"/>
      <c r="AC264" s="1906"/>
      <c r="AD264" s="1906"/>
      <c r="AF264" s="1736" t="s">
        <v>61</v>
      </c>
      <c r="AG264" s="1736"/>
      <c r="AH264" s="1736"/>
      <c r="AI264" s="1736"/>
      <c r="AJ264" s="1736"/>
      <c r="AK264" s="1736"/>
      <c r="AL264" s="1736"/>
      <c r="AM264" s="104"/>
      <c r="AN264" s="281"/>
    </row>
    <row r="265" spans="1:82" s="4" customFormat="1" ht="12.75" customHeight="1">
      <c r="B265" s="102"/>
      <c r="C265" s="137"/>
      <c r="D265" s="26"/>
      <c r="E265" s="1906"/>
      <c r="F265" s="1906"/>
      <c r="G265" s="1906"/>
      <c r="H265" s="1906"/>
      <c r="I265" s="1906"/>
      <c r="J265" s="1906"/>
      <c r="K265" s="1906"/>
      <c r="L265" s="1906"/>
      <c r="M265" s="1906"/>
      <c r="N265" s="1906"/>
      <c r="O265" s="1906"/>
      <c r="P265" s="1906"/>
      <c r="Q265" s="1906"/>
      <c r="R265" s="1906"/>
      <c r="S265" s="1906"/>
      <c r="T265" s="1906"/>
      <c r="U265" s="1906"/>
      <c r="V265" s="1906"/>
      <c r="W265" s="1906"/>
      <c r="X265" s="1906"/>
      <c r="Y265" s="1906"/>
      <c r="Z265" s="1906"/>
      <c r="AA265" s="1906"/>
      <c r="AB265" s="1906"/>
      <c r="AC265" s="1906"/>
      <c r="AD265" s="1906"/>
      <c r="AE265" s="108"/>
      <c r="AF265" s="108"/>
      <c r="AG265" s="108"/>
      <c r="AH265" s="108"/>
      <c r="AI265" s="108"/>
      <c r="AJ265" s="108"/>
      <c r="AK265" s="108"/>
      <c r="AL265" s="108"/>
      <c r="AM265" s="104"/>
      <c r="AN265" s="281"/>
    </row>
    <row r="266" spans="1:82" s="4" customFormat="1" ht="12.75" customHeight="1">
      <c r="B266" s="102"/>
      <c r="C266" s="137"/>
      <c r="D266" s="26"/>
      <c r="E266" s="1906"/>
      <c r="F266" s="1906"/>
      <c r="G266" s="1906"/>
      <c r="H266" s="1906"/>
      <c r="I266" s="1906"/>
      <c r="J266" s="1906"/>
      <c r="K266" s="1906"/>
      <c r="L266" s="1906"/>
      <c r="M266" s="1906"/>
      <c r="N266" s="1906"/>
      <c r="O266" s="1906"/>
      <c r="P266" s="1906"/>
      <c r="Q266" s="1906"/>
      <c r="R266" s="1906"/>
      <c r="S266" s="1906"/>
      <c r="T266" s="1906"/>
      <c r="U266" s="1906"/>
      <c r="V266" s="1906"/>
      <c r="W266" s="1906"/>
      <c r="X266" s="1906"/>
      <c r="Y266" s="1906"/>
      <c r="Z266" s="1906"/>
      <c r="AA266" s="1906"/>
      <c r="AB266" s="1906"/>
      <c r="AC266" s="1906"/>
      <c r="AD266" s="1906"/>
      <c r="AE266" s="108"/>
      <c r="AF266" s="108"/>
      <c r="AG266" s="108"/>
      <c r="AH266" s="108"/>
      <c r="AI266" s="108"/>
      <c r="AJ266" s="108"/>
      <c r="AK266" s="108"/>
      <c r="AL266" s="108"/>
      <c r="AM266" s="104"/>
      <c r="AN266" s="281"/>
    </row>
    <row r="267" spans="1:82" s="4" customFormat="1" ht="12.75" customHeight="1">
      <c r="B267" s="102"/>
      <c r="C267" s="137"/>
      <c r="D267" s="26"/>
      <c r="E267" s="1906"/>
      <c r="F267" s="1906"/>
      <c r="G267" s="1906"/>
      <c r="H267" s="1906"/>
      <c r="I267" s="1906"/>
      <c r="J267" s="1906"/>
      <c r="K267" s="1906"/>
      <c r="L267" s="1906"/>
      <c r="M267" s="1906"/>
      <c r="N267" s="1906"/>
      <c r="O267" s="1906"/>
      <c r="P267" s="1906"/>
      <c r="Q267" s="1906"/>
      <c r="R267" s="1906"/>
      <c r="S267" s="1906"/>
      <c r="T267" s="1906"/>
      <c r="U267" s="1906"/>
      <c r="V267" s="1906"/>
      <c r="W267" s="1906"/>
      <c r="X267" s="1906"/>
      <c r="Y267" s="1906"/>
      <c r="Z267" s="1906"/>
      <c r="AA267" s="1906"/>
      <c r="AB267" s="1906"/>
      <c r="AC267" s="1906"/>
      <c r="AD267" s="190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37" t="s">
        <v>124</v>
      </c>
      <c r="I269" s="183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312">
        <f>VLOOKUP($H$269,$AO$260:$AP$262,2,FALSE)</f>
        <v>0</v>
      </c>
      <c r="AK271" s="131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700" t="s">
        <v>2209</v>
      </c>
      <c r="F275" s="1700"/>
      <c r="G275" s="1700"/>
      <c r="H275" s="1700"/>
      <c r="I275" s="1700"/>
      <c r="J275" s="1700"/>
      <c r="K275" s="1700"/>
      <c r="L275" s="1700"/>
      <c r="M275" s="1700"/>
      <c r="N275" s="1700"/>
      <c r="O275" s="1700"/>
      <c r="P275" s="1700"/>
      <c r="Q275" s="1700"/>
      <c r="R275" s="1700"/>
      <c r="S275" s="1700"/>
      <c r="T275" s="1700"/>
      <c r="U275" s="1700"/>
      <c r="V275" s="1700"/>
      <c r="W275" s="1700"/>
      <c r="X275" s="1700"/>
      <c r="Y275" s="1700"/>
      <c r="Z275" s="1700"/>
      <c r="AA275" s="1700"/>
      <c r="AB275" s="1700"/>
      <c r="AC275" s="1700"/>
      <c r="AD275" s="1700"/>
      <c r="AF275" s="1736" t="s">
        <v>1633</v>
      </c>
      <c r="AG275" s="1736"/>
      <c r="AH275" s="1736"/>
      <c r="AI275" s="1736"/>
      <c r="AJ275" s="1736"/>
      <c r="AK275" s="1736"/>
      <c r="AL275" s="1736"/>
      <c r="AM275" s="104"/>
      <c r="AN275" s="204"/>
      <c r="AO275" s="26" t="s">
        <v>108</v>
      </c>
      <c r="AP275" s="4">
        <v>8</v>
      </c>
      <c r="AT275" s="428"/>
      <c r="AU275" s="428"/>
      <c r="AV275" s="428"/>
      <c r="AW275" s="428"/>
      <c r="AX275" s="428"/>
      <c r="AY275" s="428"/>
      <c r="AZ275" s="428"/>
    </row>
    <row r="276" spans="1:82" customFormat="1">
      <c r="A276" s="4"/>
      <c r="B276" s="102"/>
      <c r="C276" s="137"/>
      <c r="D276" s="26"/>
      <c r="E276" s="1700"/>
      <c r="F276" s="1700"/>
      <c r="G276" s="1700"/>
      <c r="H276" s="1700"/>
      <c r="I276" s="1700"/>
      <c r="J276" s="1700"/>
      <c r="K276" s="1700"/>
      <c r="L276" s="1700"/>
      <c r="M276" s="1700"/>
      <c r="N276" s="1700"/>
      <c r="O276" s="1700"/>
      <c r="P276" s="1700"/>
      <c r="Q276" s="1700"/>
      <c r="R276" s="1700"/>
      <c r="S276" s="1700"/>
      <c r="T276" s="1700"/>
      <c r="U276" s="1700"/>
      <c r="V276" s="1700"/>
      <c r="W276" s="1700"/>
      <c r="X276" s="1700"/>
      <c r="Y276" s="1700"/>
      <c r="Z276" s="1700"/>
      <c r="AA276" s="1700"/>
      <c r="AB276" s="1700"/>
      <c r="AC276" s="1700"/>
      <c r="AD276" s="170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700"/>
      <c r="F277" s="1700"/>
      <c r="G277" s="1700"/>
      <c r="H277" s="1700"/>
      <c r="I277" s="1700"/>
      <c r="J277" s="1700"/>
      <c r="K277" s="1700"/>
      <c r="L277" s="1700"/>
      <c r="M277" s="1700"/>
      <c r="N277" s="1700"/>
      <c r="O277" s="1700"/>
      <c r="P277" s="1700"/>
      <c r="Q277" s="1700"/>
      <c r="R277" s="1700"/>
      <c r="S277" s="1700"/>
      <c r="T277" s="1700"/>
      <c r="U277" s="1700"/>
      <c r="V277" s="1700"/>
      <c r="W277" s="1700"/>
      <c r="X277" s="1700"/>
      <c r="Y277" s="1700"/>
      <c r="Z277" s="1700"/>
      <c r="AA277" s="1700"/>
      <c r="AB277" s="1700"/>
      <c r="AC277" s="1700"/>
      <c r="AD277" s="170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37" t="s">
        <v>108</v>
      </c>
      <c r="I279" s="183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312">
        <f>VLOOKUP($H$279,$AO$274:$AP$275,2,FALSE)</f>
        <v>8</v>
      </c>
      <c r="AK281" s="131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312">
        <f>$AJ$124+$AJ$139+$AJ$151+$AJ$184+$AJ$206+$AJ$218+$AJ$230+$AJ$244+$AJ$256+$AJ$271+AJ281</f>
        <v>29</v>
      </c>
      <c r="AL283" s="1313"/>
      <c r="AM283" s="131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80" t="s">
        <v>2420</v>
      </c>
      <c r="I287" s="1080"/>
      <c r="J287" s="1080"/>
      <c r="K287" s="1080"/>
      <c r="L287" s="1080"/>
      <c r="M287" s="1080"/>
      <c r="N287" s="1080"/>
      <c r="O287" s="1080"/>
      <c r="P287" s="1080"/>
      <c r="Q287" s="1080"/>
      <c r="R287" s="1080"/>
      <c r="S287"/>
      <c r="T287" s="41" t="s">
        <v>89</v>
      </c>
      <c r="U287"/>
      <c r="V287" s="41"/>
      <c r="W287" s="41"/>
      <c r="X287" s="41"/>
      <c r="Y287" s="41"/>
      <c r="Z287"/>
      <c r="AA287" s="1080" t="s">
        <v>2425</v>
      </c>
      <c r="AB287" s="1080"/>
      <c r="AC287" s="1080"/>
      <c r="AD287" s="1080"/>
      <c r="AE287" s="1080"/>
      <c r="AF287" s="1080"/>
      <c r="AG287" s="1080"/>
      <c r="AH287" s="1080"/>
      <c r="AI287" s="1080"/>
      <c r="AJ287" s="1080"/>
      <c r="AK287" s="1080"/>
      <c r="AL287" s="10"/>
      <c r="AN287" s="281"/>
      <c r="AP287" t="s">
        <v>91</v>
      </c>
    </row>
    <row r="288" spans="1:82" s="4" customFormat="1" ht="12.75" customHeight="1">
      <c r="B288" s="41" t="s">
        <v>699</v>
      </c>
      <c r="C288" s="41"/>
      <c r="D288" s="41"/>
      <c r="E288" s="41"/>
      <c r="F288" s="41"/>
      <c r="G288"/>
      <c r="H288" s="1130" t="s">
        <v>2421</v>
      </c>
      <c r="I288" s="1130"/>
      <c r="J288" s="1130"/>
      <c r="K288" s="1130"/>
      <c r="L288" s="1130"/>
      <c r="M288" s="1130"/>
      <c r="N288" s="1130"/>
      <c r="O288" s="1130"/>
      <c r="P288" s="1130"/>
      <c r="Q288" s="1130"/>
      <c r="R288" s="1130"/>
      <c r="S288"/>
      <c r="T288" s="41" t="s">
        <v>699</v>
      </c>
      <c r="U288"/>
      <c r="V288" s="41"/>
      <c r="W288" s="41"/>
      <c r="X288" s="41"/>
      <c r="Y288" s="41"/>
      <c r="Z288"/>
      <c r="AA288" s="1130" t="s">
        <v>2426</v>
      </c>
      <c r="AB288" s="1130"/>
      <c r="AC288" s="1130"/>
      <c r="AD288" s="1130"/>
      <c r="AE288" s="1130"/>
      <c r="AF288" s="1130"/>
      <c r="AG288" s="1130"/>
      <c r="AH288" s="1130"/>
      <c r="AI288" s="1130"/>
      <c r="AJ288" s="1130"/>
      <c r="AK288" s="1130"/>
      <c r="AL288" s="10"/>
      <c r="AN288" s="281"/>
      <c r="AP288" t="s">
        <v>92</v>
      </c>
    </row>
    <row r="289" spans="1:42" s="4" customFormat="1" ht="12.75" customHeight="1">
      <c r="B289" s="41" t="s">
        <v>99</v>
      </c>
      <c r="C289" s="41"/>
      <c r="D289" s="41"/>
      <c r="E289" s="41"/>
      <c r="F289" s="41"/>
      <c r="G289"/>
      <c r="H289" s="1130" t="s">
        <v>2422</v>
      </c>
      <c r="I289" s="1130"/>
      <c r="J289" s="1130"/>
      <c r="K289" s="1130"/>
      <c r="L289" s="1130"/>
      <c r="M289" s="1130"/>
      <c r="N289" s="1130"/>
      <c r="O289" s="1130"/>
      <c r="P289" s="1130"/>
      <c r="Q289" s="1130"/>
      <c r="R289" s="1130"/>
      <c r="S289"/>
      <c r="T289" s="41" t="s">
        <v>99</v>
      </c>
      <c r="U289"/>
      <c r="V289" s="41"/>
      <c r="W289" s="41"/>
      <c r="X289" s="41"/>
      <c r="Y289" s="41"/>
      <c r="Z289"/>
      <c r="AA289" s="1130" t="s">
        <v>2422</v>
      </c>
      <c r="AB289" s="1130"/>
      <c r="AC289" s="1130"/>
      <c r="AD289" s="1130"/>
      <c r="AE289" s="1130"/>
      <c r="AF289" s="1130"/>
      <c r="AG289" s="1130"/>
      <c r="AH289" s="1130"/>
      <c r="AI289" s="1130"/>
      <c r="AJ289" s="1130"/>
      <c r="AK289" s="1130"/>
      <c r="AL289" s="10"/>
      <c r="AN289" s="281"/>
      <c r="AO289" s="211"/>
      <c r="AP289" t="s">
        <v>93</v>
      </c>
    </row>
    <row r="290" spans="1:42" s="4" customFormat="1" ht="12.75" customHeight="1">
      <c r="B290" s="41" t="s">
        <v>374</v>
      </c>
      <c r="C290" s="41"/>
      <c r="D290" s="41"/>
      <c r="E290" s="41"/>
      <c r="F290" s="41"/>
      <c r="G290"/>
      <c r="H290" s="1130"/>
      <c r="I290" s="1130"/>
      <c r="J290" s="1130"/>
      <c r="K290" s="1130"/>
      <c r="L290" s="1130"/>
      <c r="M290" s="1130"/>
      <c r="N290" s="1130"/>
      <c r="O290" s="1130"/>
      <c r="P290" s="1130"/>
      <c r="Q290" s="1130"/>
      <c r="R290" s="1130"/>
      <c r="S290"/>
      <c r="T290" s="41" t="s">
        <v>374</v>
      </c>
      <c r="U290"/>
      <c r="V290" s="41"/>
      <c r="W290" s="41"/>
      <c r="X290" s="41"/>
      <c r="Y290" s="41"/>
      <c r="Z290"/>
      <c r="AA290" s="1130"/>
      <c r="AB290" s="1130"/>
      <c r="AC290" s="1130"/>
      <c r="AD290" s="1130"/>
      <c r="AE290" s="1130"/>
      <c r="AF290" s="1130"/>
      <c r="AG290" s="1130"/>
      <c r="AH290" s="1130"/>
      <c r="AI290" s="1130"/>
      <c r="AJ290" s="1130"/>
      <c r="AK290" s="1130"/>
      <c r="AL290" s="10"/>
      <c r="AN290" s="281"/>
      <c r="AO290" s="211"/>
      <c r="AP290" t="s">
        <v>347</v>
      </c>
    </row>
    <row r="291" spans="1:42" s="4" customFormat="1" ht="12.75" customHeight="1">
      <c r="B291" s="41" t="s">
        <v>375</v>
      </c>
      <c r="C291" s="41"/>
      <c r="D291" s="41"/>
      <c r="E291" s="41"/>
      <c r="F291" s="41"/>
      <c r="G291" s="41"/>
      <c r="H291" s="1430" t="s">
        <v>2423</v>
      </c>
      <c r="I291" s="1430"/>
      <c r="J291" s="1430"/>
      <c r="K291" s="1430"/>
      <c r="L291" s="1430"/>
      <c r="M291" s="1430"/>
      <c r="N291" s="5" t="s">
        <v>818</v>
      </c>
      <c r="O291" s="5"/>
      <c r="P291" s="1419"/>
      <c r="Q291" s="1419"/>
      <c r="R291" s="1419"/>
      <c r="S291" s="41"/>
      <c r="T291" s="41" t="s">
        <v>375</v>
      </c>
      <c r="U291"/>
      <c r="V291" s="41"/>
      <c r="W291" s="41"/>
      <c r="X291" s="41"/>
      <c r="Y291" s="41"/>
      <c r="Z291"/>
      <c r="AA291" s="1430" t="s">
        <v>2332</v>
      </c>
      <c r="AB291" s="1430"/>
      <c r="AC291" s="1430"/>
      <c r="AD291" s="1430"/>
      <c r="AE291" s="1430"/>
      <c r="AF291" s="1430"/>
      <c r="AG291" s="5" t="s">
        <v>818</v>
      </c>
      <c r="AH291" s="5"/>
      <c r="AI291" s="1419"/>
      <c r="AJ291" s="1419"/>
      <c r="AK291" s="1419"/>
      <c r="AL291" s="10"/>
      <c r="AN291" s="281"/>
      <c r="AO291" s="211"/>
      <c r="AP291" t="s">
        <v>2317</v>
      </c>
    </row>
    <row r="292" spans="1:42" s="4" customFormat="1" ht="12.75" customHeight="1">
      <c r="B292" s="41" t="s">
        <v>88</v>
      </c>
      <c r="C292" s="41"/>
      <c r="D292" s="41"/>
      <c r="E292" s="41"/>
      <c r="F292" s="41"/>
      <c r="G292" s="41"/>
      <c r="H292" s="1130" t="s">
        <v>91</v>
      </c>
      <c r="I292" s="1130"/>
      <c r="J292" s="1130"/>
      <c r="K292" s="1130"/>
      <c r="L292" s="1130"/>
      <c r="M292" s="1130"/>
      <c r="N292" s="1130"/>
      <c r="O292" s="1130"/>
      <c r="P292" s="1130"/>
      <c r="Q292" s="1130"/>
      <c r="R292" s="1130"/>
      <c r="S292" s="41"/>
      <c r="T292" s="41" t="s">
        <v>88</v>
      </c>
      <c r="U292"/>
      <c r="V292" s="41"/>
      <c r="W292" s="41"/>
      <c r="X292" s="41"/>
      <c r="Y292" s="41"/>
      <c r="Z292"/>
      <c r="AA292" s="1130" t="s">
        <v>92</v>
      </c>
      <c r="AB292" s="1130"/>
      <c r="AC292" s="1130"/>
      <c r="AD292" s="1130"/>
      <c r="AE292" s="1130"/>
      <c r="AF292" s="1130"/>
      <c r="AG292" s="1130"/>
      <c r="AH292" s="1130"/>
      <c r="AI292" s="1130"/>
      <c r="AJ292" s="1130"/>
      <c r="AK292" s="1130"/>
      <c r="AL292" s="10"/>
      <c r="AN292" s="281"/>
      <c r="AO292" s="211"/>
      <c r="AP292" t="s">
        <v>100</v>
      </c>
    </row>
    <row r="293" spans="1:42" s="4" customFormat="1" ht="12.75" customHeight="1">
      <c r="B293" s="41" t="s">
        <v>90</v>
      </c>
      <c r="C293" s="41"/>
      <c r="D293" s="41"/>
      <c r="E293" s="41"/>
      <c r="F293" s="41"/>
      <c r="G293" s="41"/>
      <c r="H293" s="1130" t="s">
        <v>2424</v>
      </c>
      <c r="I293" s="1130"/>
      <c r="J293" s="1130"/>
      <c r="K293" s="1130"/>
      <c r="L293" s="1130"/>
      <c r="M293" s="1130"/>
      <c r="N293" s="1130"/>
      <c r="O293" s="1130"/>
      <c r="P293" s="1130"/>
      <c r="Q293" s="1130"/>
      <c r="R293" s="1130"/>
      <c r="S293" s="41"/>
      <c r="T293" s="41" t="s">
        <v>90</v>
      </c>
      <c r="U293"/>
      <c r="V293" s="41"/>
      <c r="W293" s="41"/>
      <c r="X293" s="41"/>
      <c r="Y293" s="41"/>
      <c r="Z293"/>
      <c r="AA293" s="1130" t="s">
        <v>2427</v>
      </c>
      <c r="AB293" s="1130"/>
      <c r="AC293" s="1130"/>
      <c r="AD293" s="1130"/>
      <c r="AE293" s="1130"/>
      <c r="AF293" s="1130"/>
      <c r="AG293" s="1130"/>
      <c r="AH293" s="1130"/>
      <c r="AI293" s="1130"/>
      <c r="AJ293" s="1130"/>
      <c r="AK293" s="1130"/>
      <c r="AL293" s="10"/>
      <c r="AN293" s="281"/>
      <c r="AP293" t="s">
        <v>97</v>
      </c>
    </row>
    <row r="294" spans="1:42" s="4" customFormat="1" ht="12.75" customHeight="1">
      <c r="B294" s="41" t="s">
        <v>101</v>
      </c>
      <c r="C294" s="41"/>
      <c r="D294" s="41"/>
      <c r="E294" s="41"/>
      <c r="F294" s="41"/>
      <c r="G294" s="41"/>
      <c r="H294" s="1699">
        <v>0.33</v>
      </c>
      <c r="I294" s="1699"/>
      <c r="J294" s="1699"/>
      <c r="K294" s="1699"/>
      <c r="L294" s="1699"/>
      <c r="M294" s="1699"/>
      <c r="N294" s="1699"/>
      <c r="O294" s="1699"/>
      <c r="P294" s="1699"/>
      <c r="Q294" s="1699"/>
      <c r="R294" s="1699"/>
      <c r="S294" s="41"/>
      <c r="T294" s="41" t="s">
        <v>101</v>
      </c>
      <c r="U294" s="41"/>
      <c r="V294" s="41"/>
      <c r="W294" s="41"/>
      <c r="X294" s="41"/>
      <c r="Y294" s="41"/>
      <c r="Z294" s="12"/>
      <c r="AA294" s="1699">
        <v>0.17</v>
      </c>
      <c r="AB294" s="1699"/>
      <c r="AC294" s="1699"/>
      <c r="AD294" s="1699"/>
      <c r="AE294" s="1699"/>
      <c r="AF294" s="1699"/>
      <c r="AG294" s="1699"/>
      <c r="AH294" s="1699"/>
      <c r="AI294" s="1699"/>
      <c r="AJ294" s="1699"/>
      <c r="AK294" s="169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80" t="s">
        <v>2428</v>
      </c>
      <c r="I296" s="1080"/>
      <c r="J296" s="1080"/>
      <c r="K296" s="1080"/>
      <c r="L296" s="1080"/>
      <c r="M296" s="1080"/>
      <c r="N296" s="1080"/>
      <c r="O296" s="1080"/>
      <c r="P296" s="1080"/>
      <c r="Q296" s="1080"/>
      <c r="R296" s="1080"/>
      <c r="S296"/>
      <c r="T296" s="41" t="s">
        <v>89</v>
      </c>
      <c r="U296"/>
      <c r="V296" s="41"/>
      <c r="W296" s="41"/>
      <c r="X296" s="41"/>
      <c r="Y296" s="41"/>
      <c r="Z296"/>
      <c r="AA296" s="1080" t="s">
        <v>2432</v>
      </c>
      <c r="AB296" s="1080"/>
      <c r="AC296" s="1080"/>
      <c r="AD296" s="1080"/>
      <c r="AE296" s="1080"/>
      <c r="AF296" s="1080"/>
      <c r="AG296" s="1080"/>
      <c r="AH296" s="1080"/>
      <c r="AI296" s="1080"/>
      <c r="AJ296" s="1080"/>
      <c r="AK296" s="1080"/>
      <c r="AL296" s="10"/>
      <c r="AN296" s="281"/>
      <c r="AP296" t="s">
        <v>96</v>
      </c>
    </row>
    <row r="297" spans="1:42" s="20" customFormat="1" ht="12.75" customHeight="1">
      <c r="A297" s="4"/>
      <c r="B297" s="41" t="s">
        <v>699</v>
      </c>
      <c r="C297" s="41"/>
      <c r="D297" s="41"/>
      <c r="E297" s="41"/>
      <c r="F297" s="41"/>
      <c r="G297"/>
      <c r="H297" s="1130" t="s">
        <v>2429</v>
      </c>
      <c r="I297" s="1130"/>
      <c r="J297" s="1130"/>
      <c r="K297" s="1130"/>
      <c r="L297" s="1130"/>
      <c r="M297" s="1130"/>
      <c r="N297" s="1130"/>
      <c r="O297" s="1130"/>
      <c r="P297" s="1130"/>
      <c r="Q297" s="1130"/>
      <c r="R297" s="1130"/>
      <c r="S297"/>
      <c r="T297" s="41" t="s">
        <v>699</v>
      </c>
      <c r="U297"/>
      <c r="V297" s="41"/>
      <c r="W297" s="41"/>
      <c r="X297" s="41"/>
      <c r="Y297" s="41"/>
      <c r="Z297"/>
      <c r="AA297" s="1130" t="s">
        <v>2433</v>
      </c>
      <c r="AB297" s="1130"/>
      <c r="AC297" s="1130"/>
      <c r="AD297" s="1130"/>
      <c r="AE297" s="1130"/>
      <c r="AF297" s="1130"/>
      <c r="AG297" s="1130"/>
      <c r="AH297" s="1130"/>
      <c r="AI297" s="1130"/>
      <c r="AJ297" s="1130"/>
      <c r="AK297" s="1130"/>
      <c r="AL297" s="10"/>
      <c r="AM297" s="4"/>
      <c r="AN297" s="281"/>
      <c r="AO297" s="4"/>
      <c r="AP297" s="48" t="s">
        <v>348</v>
      </c>
    </row>
    <row r="298" spans="1:42" s="20" customFormat="1" ht="12.75" customHeight="1">
      <c r="A298" s="4"/>
      <c r="B298" s="41" t="s">
        <v>99</v>
      </c>
      <c r="C298" s="41"/>
      <c r="D298" s="41"/>
      <c r="E298" s="41"/>
      <c r="F298" s="41"/>
      <c r="G298"/>
      <c r="H298" s="1130" t="s">
        <v>2422</v>
      </c>
      <c r="I298" s="1130"/>
      <c r="J298" s="1130"/>
      <c r="K298" s="1130"/>
      <c r="L298" s="1130"/>
      <c r="M298" s="1130"/>
      <c r="N298" s="1130"/>
      <c r="O298" s="1130"/>
      <c r="P298" s="1130"/>
      <c r="Q298" s="1130"/>
      <c r="R298" s="1130"/>
      <c r="S298"/>
      <c r="T298" s="41" t="s">
        <v>99</v>
      </c>
      <c r="U298"/>
      <c r="V298" s="41"/>
      <c r="W298" s="41"/>
      <c r="X298" s="41"/>
      <c r="Y298" s="41"/>
      <c r="Z298"/>
      <c r="AA298" s="1130" t="s">
        <v>2422</v>
      </c>
      <c r="AB298" s="1130"/>
      <c r="AC298" s="1130"/>
      <c r="AD298" s="1130"/>
      <c r="AE298" s="1130"/>
      <c r="AF298" s="1130"/>
      <c r="AG298" s="1130"/>
      <c r="AH298" s="1130"/>
      <c r="AI298" s="1130"/>
      <c r="AJ298" s="1130"/>
      <c r="AK298" s="1130"/>
      <c r="AL298" s="10"/>
      <c r="AM298" s="4"/>
      <c r="AN298" s="281"/>
      <c r="AO298" s="4"/>
    </row>
    <row r="299" spans="1:42" s="4" customFormat="1" ht="12.75" customHeight="1">
      <c r="B299" s="41" t="s">
        <v>374</v>
      </c>
      <c r="C299" s="41"/>
      <c r="D299" s="41"/>
      <c r="E299" s="41"/>
      <c r="F299" s="41"/>
      <c r="G299"/>
      <c r="H299" s="1130"/>
      <c r="I299" s="1130"/>
      <c r="J299" s="1130"/>
      <c r="K299" s="1130"/>
      <c r="L299" s="1130"/>
      <c r="M299" s="1130"/>
      <c r="N299" s="1130"/>
      <c r="O299" s="1130"/>
      <c r="P299" s="1130"/>
      <c r="Q299" s="1130"/>
      <c r="R299" s="1130"/>
      <c r="S299"/>
      <c r="T299" s="41" t="s">
        <v>374</v>
      </c>
      <c r="U299"/>
      <c r="V299" s="41"/>
      <c r="W299" s="41"/>
      <c r="X299" s="41"/>
      <c r="Y299" s="41"/>
      <c r="Z299"/>
      <c r="AA299" s="1130"/>
      <c r="AB299" s="1130"/>
      <c r="AC299" s="1130"/>
      <c r="AD299" s="1130"/>
      <c r="AE299" s="1130"/>
      <c r="AF299" s="1130"/>
      <c r="AG299" s="1130"/>
      <c r="AH299" s="1130"/>
      <c r="AI299" s="1130"/>
      <c r="AJ299" s="1130"/>
      <c r="AK299" s="1130"/>
      <c r="AL299" s="10"/>
      <c r="AN299" s="281"/>
    </row>
    <row r="300" spans="1:42" s="4" customFormat="1" ht="12.75" customHeight="1">
      <c r="B300" s="41" t="s">
        <v>375</v>
      </c>
      <c r="C300" s="41"/>
      <c r="D300" s="41"/>
      <c r="E300" s="41"/>
      <c r="F300" s="41"/>
      <c r="G300" s="41"/>
      <c r="H300" s="1430" t="s">
        <v>2430</v>
      </c>
      <c r="I300" s="1430"/>
      <c r="J300" s="1430"/>
      <c r="K300" s="1430"/>
      <c r="L300" s="1430"/>
      <c r="M300" s="1430"/>
      <c r="N300" s="5" t="s">
        <v>818</v>
      </c>
      <c r="O300" s="5"/>
      <c r="P300" s="1419"/>
      <c r="Q300" s="1419"/>
      <c r="R300" s="1419"/>
      <c r="S300" s="41"/>
      <c r="T300" s="41" t="s">
        <v>375</v>
      </c>
      <c r="U300"/>
      <c r="V300" s="41"/>
      <c r="W300" s="41"/>
      <c r="X300" s="41"/>
      <c r="Y300" s="41"/>
      <c r="Z300"/>
      <c r="AA300" s="1430"/>
      <c r="AB300" s="1430"/>
      <c r="AC300" s="1430"/>
      <c r="AD300" s="1430"/>
      <c r="AE300" s="1430"/>
      <c r="AF300" s="1430"/>
      <c r="AG300" s="5" t="s">
        <v>818</v>
      </c>
      <c r="AH300" s="5"/>
      <c r="AI300" s="1419"/>
      <c r="AJ300" s="1419"/>
      <c r="AK300" s="1419"/>
      <c r="AL300" s="10"/>
      <c r="AN300" s="281"/>
    </row>
    <row r="301" spans="1:42" s="4" customFormat="1" ht="12.75" customHeight="1">
      <c r="B301" s="41" t="s">
        <v>88</v>
      </c>
      <c r="C301" s="41"/>
      <c r="D301" s="41"/>
      <c r="E301" s="41"/>
      <c r="F301" s="41"/>
      <c r="G301" s="41"/>
      <c r="H301" s="1130" t="s">
        <v>93</v>
      </c>
      <c r="I301" s="1130"/>
      <c r="J301" s="1130"/>
      <c r="K301" s="1130"/>
      <c r="L301" s="1130"/>
      <c r="M301" s="1130"/>
      <c r="N301" s="1130"/>
      <c r="O301" s="1130"/>
      <c r="P301" s="1130"/>
      <c r="Q301" s="1130"/>
      <c r="R301" s="1130"/>
      <c r="S301" s="41"/>
      <c r="T301" s="41" t="s">
        <v>88</v>
      </c>
      <c r="U301"/>
      <c r="V301" s="41"/>
      <c r="W301" s="41"/>
      <c r="X301" s="41"/>
      <c r="Y301" s="41"/>
      <c r="Z301"/>
      <c r="AA301" s="1130" t="s">
        <v>347</v>
      </c>
      <c r="AB301" s="1130"/>
      <c r="AC301" s="1130"/>
      <c r="AD301" s="1130"/>
      <c r="AE301" s="1130"/>
      <c r="AF301" s="1130"/>
      <c r="AG301" s="1130"/>
      <c r="AH301" s="1130"/>
      <c r="AI301" s="1130"/>
      <c r="AJ301" s="1130"/>
      <c r="AK301" s="1130"/>
      <c r="AL301" s="10"/>
      <c r="AN301" s="281"/>
    </row>
    <row r="302" spans="1:42" s="4" customFormat="1" ht="12.75" customHeight="1">
      <c r="B302" s="41" t="s">
        <v>90</v>
      </c>
      <c r="C302" s="41"/>
      <c r="D302" s="41"/>
      <c r="E302" s="41"/>
      <c r="F302" s="41"/>
      <c r="G302" s="41"/>
      <c r="H302" s="1130" t="s">
        <v>2431</v>
      </c>
      <c r="I302" s="1130"/>
      <c r="J302" s="1130"/>
      <c r="K302" s="1130"/>
      <c r="L302" s="1130"/>
      <c r="M302" s="1130"/>
      <c r="N302" s="1130"/>
      <c r="O302" s="1130"/>
      <c r="P302" s="1130"/>
      <c r="Q302" s="1130"/>
      <c r="R302" s="1130"/>
      <c r="S302" s="41"/>
      <c r="T302" s="41" t="s">
        <v>90</v>
      </c>
      <c r="U302"/>
      <c r="V302" s="41"/>
      <c r="W302" s="41"/>
      <c r="X302" s="41"/>
      <c r="Y302" s="41"/>
      <c r="Z302"/>
      <c r="AA302" s="1130" t="s">
        <v>2434</v>
      </c>
      <c r="AB302" s="1130"/>
      <c r="AC302" s="1130"/>
      <c r="AD302" s="1130"/>
      <c r="AE302" s="1130"/>
      <c r="AF302" s="1130"/>
      <c r="AG302" s="1130"/>
      <c r="AH302" s="1130"/>
      <c r="AI302" s="1130"/>
      <c r="AJ302" s="1130"/>
      <c r="AK302" s="1130"/>
      <c r="AL302" s="10"/>
      <c r="AN302" s="281"/>
    </row>
    <row r="303" spans="1:42" s="4" customFormat="1" ht="12.75" customHeight="1">
      <c r="B303" s="41" t="s">
        <v>101</v>
      </c>
      <c r="C303" s="41"/>
      <c r="D303" s="41"/>
      <c r="E303" s="41"/>
      <c r="F303" s="41"/>
      <c r="G303" s="41"/>
      <c r="H303" s="1699">
        <v>1.38</v>
      </c>
      <c r="I303" s="1699"/>
      <c r="J303" s="1699"/>
      <c r="K303" s="1699"/>
      <c r="L303" s="1699"/>
      <c r="M303" s="1699"/>
      <c r="N303" s="1699"/>
      <c r="O303" s="1699"/>
      <c r="P303" s="1699"/>
      <c r="Q303" s="1699"/>
      <c r="R303" s="1699"/>
      <c r="S303" s="41"/>
      <c r="T303" s="41" t="s">
        <v>101</v>
      </c>
      <c r="U303" s="41"/>
      <c r="V303" s="41"/>
      <c r="W303" s="41"/>
      <c r="X303" s="41"/>
      <c r="Y303" s="41"/>
      <c r="Z303" s="12"/>
      <c r="AA303" s="1699">
        <v>0.98</v>
      </c>
      <c r="AB303" s="1699"/>
      <c r="AC303" s="1699"/>
      <c r="AD303" s="1699"/>
      <c r="AE303" s="1699"/>
      <c r="AF303" s="1699"/>
      <c r="AG303" s="1699"/>
      <c r="AH303" s="1699"/>
      <c r="AI303" s="1699"/>
      <c r="AJ303" s="1699"/>
      <c r="AK303" s="169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80" t="s">
        <v>2435</v>
      </c>
      <c r="I305" s="1080"/>
      <c r="J305" s="1080"/>
      <c r="K305" s="1080"/>
      <c r="L305" s="1080"/>
      <c r="M305" s="1080"/>
      <c r="N305" s="1080"/>
      <c r="O305" s="1080"/>
      <c r="P305" s="1080"/>
      <c r="Q305" s="1080"/>
      <c r="R305" s="1080"/>
      <c r="S305"/>
      <c r="T305" s="41" t="s">
        <v>89</v>
      </c>
      <c r="U305"/>
      <c r="V305" s="41"/>
      <c r="W305" s="41"/>
      <c r="X305" s="41"/>
      <c r="Y305" s="41"/>
      <c r="Z305"/>
      <c r="AA305" s="1080" t="s">
        <v>2440</v>
      </c>
      <c r="AB305" s="1080"/>
      <c r="AC305" s="1080"/>
      <c r="AD305" s="1080"/>
      <c r="AE305" s="1080"/>
      <c r="AF305" s="1080"/>
      <c r="AG305" s="1080"/>
      <c r="AH305" s="1080"/>
      <c r="AI305" s="1080"/>
      <c r="AJ305" s="1080"/>
      <c r="AK305" s="1080"/>
      <c r="AL305" s="10"/>
      <c r="AN305" s="281"/>
    </row>
    <row r="306" spans="2:40" s="4" customFormat="1" ht="12.75" customHeight="1">
      <c r="B306" s="41" t="s">
        <v>699</v>
      </c>
      <c r="C306" s="41"/>
      <c r="D306" s="41"/>
      <c r="E306" s="41"/>
      <c r="F306" s="41"/>
      <c r="G306"/>
      <c r="H306" s="1130" t="s">
        <v>2436</v>
      </c>
      <c r="I306" s="1130"/>
      <c r="J306" s="1130"/>
      <c r="K306" s="1130"/>
      <c r="L306" s="1130"/>
      <c r="M306" s="1130"/>
      <c r="N306" s="1130"/>
      <c r="O306" s="1130"/>
      <c r="P306" s="1130"/>
      <c r="Q306" s="1130"/>
      <c r="R306" s="1130"/>
      <c r="S306"/>
      <c r="T306" s="41" t="s">
        <v>699</v>
      </c>
      <c r="U306"/>
      <c r="V306" s="41"/>
      <c r="W306" s="41"/>
      <c r="X306" s="41"/>
      <c r="Y306" s="41"/>
      <c r="Z306"/>
      <c r="AA306" s="1130" t="s">
        <v>2441</v>
      </c>
      <c r="AB306" s="1130"/>
      <c r="AC306" s="1130"/>
      <c r="AD306" s="1130"/>
      <c r="AE306" s="1130"/>
      <c r="AF306" s="1130"/>
      <c r="AG306" s="1130"/>
      <c r="AH306" s="1130"/>
      <c r="AI306" s="1130"/>
      <c r="AJ306" s="1130"/>
      <c r="AK306" s="1130"/>
      <c r="AL306" s="10"/>
      <c r="AN306" s="281"/>
    </row>
    <row r="307" spans="2:40" s="4" customFormat="1" ht="12.75" customHeight="1">
      <c r="B307" s="41" t="s">
        <v>99</v>
      </c>
      <c r="C307" s="41"/>
      <c r="D307" s="41"/>
      <c r="E307" s="41"/>
      <c r="F307" s="41"/>
      <c r="G307"/>
      <c r="H307" s="1130" t="s">
        <v>2422</v>
      </c>
      <c r="I307" s="1130"/>
      <c r="J307" s="1130"/>
      <c r="K307" s="1130"/>
      <c r="L307" s="1130"/>
      <c r="M307" s="1130"/>
      <c r="N307" s="1130"/>
      <c r="O307" s="1130"/>
      <c r="P307" s="1130"/>
      <c r="Q307" s="1130"/>
      <c r="R307" s="1130"/>
      <c r="S307"/>
      <c r="T307" s="41" t="s">
        <v>99</v>
      </c>
      <c r="U307"/>
      <c r="V307" s="41"/>
      <c r="W307" s="41"/>
      <c r="X307" s="41"/>
      <c r="Y307" s="41"/>
      <c r="Z307"/>
      <c r="AA307" s="1130" t="s">
        <v>2422</v>
      </c>
      <c r="AB307" s="1130"/>
      <c r="AC307" s="1130"/>
      <c r="AD307" s="1130"/>
      <c r="AE307" s="1130"/>
      <c r="AF307" s="1130"/>
      <c r="AG307" s="1130"/>
      <c r="AH307" s="1130"/>
      <c r="AI307" s="1130"/>
      <c r="AJ307" s="1130"/>
      <c r="AK307" s="1130"/>
      <c r="AL307" s="10"/>
      <c r="AN307" s="281"/>
    </row>
    <row r="308" spans="2:40" s="4" customFormat="1" ht="12.75" customHeight="1">
      <c r="B308" s="41" t="s">
        <v>374</v>
      </c>
      <c r="C308" s="41"/>
      <c r="D308" s="41"/>
      <c r="E308" s="41"/>
      <c r="F308" s="41"/>
      <c r="G308"/>
      <c r="H308" s="1130" t="s">
        <v>2437</v>
      </c>
      <c r="I308" s="1130"/>
      <c r="J308" s="1130"/>
      <c r="K308" s="1130"/>
      <c r="L308" s="1130"/>
      <c r="M308" s="1130"/>
      <c r="N308" s="1130"/>
      <c r="O308" s="1130"/>
      <c r="P308" s="1130"/>
      <c r="Q308" s="1130"/>
      <c r="R308" s="1130"/>
      <c r="S308"/>
      <c r="T308" s="41" t="s">
        <v>374</v>
      </c>
      <c r="U308"/>
      <c r="V308" s="41"/>
      <c r="W308" s="41"/>
      <c r="X308" s="41"/>
      <c r="Y308" s="41"/>
      <c r="Z308"/>
      <c r="AA308" s="1130" t="s">
        <v>2442</v>
      </c>
      <c r="AB308" s="1130"/>
      <c r="AC308" s="1130"/>
      <c r="AD308" s="1130"/>
      <c r="AE308" s="1130"/>
      <c r="AF308" s="1130"/>
      <c r="AG308" s="1130"/>
      <c r="AH308" s="1130"/>
      <c r="AI308" s="1130"/>
      <c r="AJ308" s="1130"/>
      <c r="AK308" s="1130"/>
      <c r="AL308" s="10"/>
      <c r="AN308" s="281"/>
    </row>
    <row r="309" spans="2:40" s="4" customFormat="1" ht="12.75" customHeight="1">
      <c r="B309" s="41" t="s">
        <v>375</v>
      </c>
      <c r="C309" s="41"/>
      <c r="D309" s="41"/>
      <c r="E309" s="41"/>
      <c r="F309" s="41"/>
      <c r="G309" s="41"/>
      <c r="H309" s="1430" t="s">
        <v>2438</v>
      </c>
      <c r="I309" s="1430"/>
      <c r="J309" s="1430"/>
      <c r="K309" s="1430"/>
      <c r="L309" s="1430"/>
      <c r="M309" s="1430"/>
      <c r="N309" s="5" t="s">
        <v>818</v>
      </c>
      <c r="O309" s="5"/>
      <c r="P309" s="1419"/>
      <c r="Q309" s="1419"/>
      <c r="R309" s="1419"/>
      <c r="S309" s="41"/>
      <c r="T309" s="41" t="s">
        <v>375</v>
      </c>
      <c r="U309"/>
      <c r="V309" s="41"/>
      <c r="W309" s="41"/>
      <c r="X309" s="41"/>
      <c r="Y309" s="41"/>
      <c r="Z309"/>
      <c r="AA309" s="1430" t="s">
        <v>2443</v>
      </c>
      <c r="AB309" s="1430"/>
      <c r="AC309" s="1430"/>
      <c r="AD309" s="1430"/>
      <c r="AE309" s="1430"/>
      <c r="AF309" s="1430"/>
      <c r="AG309" s="5" t="s">
        <v>818</v>
      </c>
      <c r="AH309" s="5"/>
      <c r="AI309" s="1419"/>
      <c r="AJ309" s="1419"/>
      <c r="AK309" s="1419"/>
      <c r="AL309" s="10"/>
      <c r="AN309" s="281"/>
    </row>
    <row r="310" spans="2:40" s="4" customFormat="1" ht="12.75" customHeight="1">
      <c r="B310" s="41" t="s">
        <v>88</v>
      </c>
      <c r="C310" s="41"/>
      <c r="D310" s="41"/>
      <c r="E310" s="41"/>
      <c r="F310" s="41"/>
      <c r="G310" s="41"/>
      <c r="H310" s="1130" t="s">
        <v>100</v>
      </c>
      <c r="I310" s="1130"/>
      <c r="J310" s="1130"/>
      <c r="K310" s="1130"/>
      <c r="L310" s="1130"/>
      <c r="M310" s="1130"/>
      <c r="N310" s="1130"/>
      <c r="O310" s="1130"/>
      <c r="P310" s="1130"/>
      <c r="Q310" s="1130"/>
      <c r="R310" s="1130"/>
      <c r="S310" s="41"/>
      <c r="T310" s="41" t="s">
        <v>88</v>
      </c>
      <c r="U310"/>
      <c r="V310" s="41"/>
      <c r="W310" s="41"/>
      <c r="X310" s="41"/>
      <c r="Y310" s="41"/>
      <c r="Z310"/>
      <c r="AA310" s="1130" t="s">
        <v>95</v>
      </c>
      <c r="AB310" s="1130"/>
      <c r="AC310" s="1130"/>
      <c r="AD310" s="1130"/>
      <c r="AE310" s="1130"/>
      <c r="AF310" s="1130"/>
      <c r="AG310" s="1130"/>
      <c r="AH310" s="1130"/>
      <c r="AI310" s="1130"/>
      <c r="AJ310" s="1130"/>
      <c r="AK310" s="1130"/>
      <c r="AL310" s="10"/>
      <c r="AN310" s="281"/>
    </row>
    <row r="311" spans="2:40" s="4" customFormat="1" ht="12.75" customHeight="1">
      <c r="B311" s="41" t="s">
        <v>90</v>
      </c>
      <c r="C311" s="41"/>
      <c r="D311" s="41"/>
      <c r="E311" s="41"/>
      <c r="F311" s="41"/>
      <c r="G311" s="41"/>
      <c r="H311" s="1130" t="s">
        <v>2439</v>
      </c>
      <c r="I311" s="1130"/>
      <c r="J311" s="1130"/>
      <c r="K311" s="1130"/>
      <c r="L311" s="1130"/>
      <c r="M311" s="1130"/>
      <c r="N311" s="1130"/>
      <c r="O311" s="1130"/>
      <c r="P311" s="1130"/>
      <c r="Q311" s="1130"/>
      <c r="R311" s="1130"/>
      <c r="S311" s="41"/>
      <c r="T311" s="41" t="s">
        <v>90</v>
      </c>
      <c r="U311"/>
      <c r="V311" s="41"/>
      <c r="W311" s="41"/>
      <c r="X311" s="41"/>
      <c r="Y311" s="41"/>
      <c r="Z311"/>
      <c r="AA311" s="1130" t="s">
        <v>2444</v>
      </c>
      <c r="AB311" s="1130"/>
      <c r="AC311" s="1130"/>
      <c r="AD311" s="1130"/>
      <c r="AE311" s="1130"/>
      <c r="AF311" s="1130"/>
      <c r="AG311" s="1130"/>
      <c r="AH311" s="1130"/>
      <c r="AI311" s="1130"/>
      <c r="AJ311" s="1130"/>
      <c r="AK311" s="1130"/>
      <c r="AL311" s="10"/>
      <c r="AN311" s="281"/>
    </row>
    <row r="312" spans="2:40" s="4" customFormat="1" ht="12.75" customHeight="1">
      <c r="B312" s="41" t="s">
        <v>101</v>
      </c>
      <c r="C312" s="41"/>
      <c r="D312" s="41"/>
      <c r="E312" s="41"/>
      <c r="F312" s="41"/>
      <c r="G312" s="41"/>
      <c r="H312" s="1699">
        <v>1.88</v>
      </c>
      <c r="I312" s="1699"/>
      <c r="J312" s="1699"/>
      <c r="K312" s="1699"/>
      <c r="L312" s="1699"/>
      <c r="M312" s="1699"/>
      <c r="N312" s="1699"/>
      <c r="O312" s="1699"/>
      <c r="P312" s="1699"/>
      <c r="Q312" s="1699"/>
      <c r="R312" s="1699"/>
      <c r="S312" s="41"/>
      <c r="T312" s="41" t="s">
        <v>101</v>
      </c>
      <c r="U312" s="41"/>
      <c r="V312" s="41"/>
      <c r="W312" s="41"/>
      <c r="X312" s="41"/>
      <c r="Y312" s="41"/>
      <c r="Z312" s="12"/>
      <c r="AA312" s="1699">
        <v>0.25</v>
      </c>
      <c r="AB312" s="1699"/>
      <c r="AC312" s="1699"/>
      <c r="AD312" s="1699"/>
      <c r="AE312" s="1699"/>
      <c r="AF312" s="1699"/>
      <c r="AG312" s="1699"/>
      <c r="AH312" s="1699"/>
      <c r="AI312" s="1699"/>
      <c r="AJ312" s="1699"/>
      <c r="AK312" s="169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80" t="s">
        <v>2445</v>
      </c>
      <c r="I314" s="1080"/>
      <c r="J314" s="1080"/>
      <c r="K314" s="1080"/>
      <c r="L314" s="1080"/>
      <c r="M314" s="1080"/>
      <c r="N314" s="1080"/>
      <c r="O314" s="1080"/>
      <c r="P314" s="1080"/>
      <c r="Q314" s="1080"/>
      <c r="R314" s="1080"/>
      <c r="S314"/>
      <c r="T314" s="41" t="s">
        <v>89</v>
      </c>
      <c r="U314"/>
      <c r="V314" s="41"/>
      <c r="W314" s="41"/>
      <c r="X314" s="41"/>
      <c r="Y314" s="41"/>
      <c r="Z314"/>
      <c r="AA314" s="1080"/>
      <c r="AB314" s="1080"/>
      <c r="AC314" s="1080"/>
      <c r="AD314" s="1080"/>
      <c r="AE314" s="1080"/>
      <c r="AF314" s="1080"/>
      <c r="AG314" s="1080"/>
      <c r="AH314" s="1080"/>
      <c r="AI314" s="1080"/>
      <c r="AJ314" s="1080"/>
      <c r="AK314" s="1080"/>
      <c r="AL314" s="10"/>
      <c r="AN314" s="281"/>
    </row>
    <row r="315" spans="2:40" s="4" customFormat="1" ht="12.75" customHeight="1">
      <c r="B315" s="41" t="s">
        <v>699</v>
      </c>
      <c r="C315" s="41"/>
      <c r="D315" s="41"/>
      <c r="E315" s="41"/>
      <c r="F315" s="41"/>
      <c r="G315"/>
      <c r="H315" s="1130" t="s">
        <v>2433</v>
      </c>
      <c r="I315" s="1130"/>
      <c r="J315" s="1130"/>
      <c r="K315" s="1130"/>
      <c r="L315" s="1130"/>
      <c r="M315" s="1130"/>
      <c r="N315" s="1130"/>
      <c r="O315" s="1130"/>
      <c r="P315" s="1130"/>
      <c r="Q315" s="1130"/>
      <c r="R315" s="1130"/>
      <c r="S315"/>
      <c r="T315" s="41" t="s">
        <v>699</v>
      </c>
      <c r="U315"/>
      <c r="V315" s="41"/>
      <c r="W315" s="41"/>
      <c r="X315" s="41"/>
      <c r="Y315" s="41"/>
      <c r="Z315"/>
      <c r="AA315" s="1130"/>
      <c r="AB315" s="1130"/>
      <c r="AC315" s="1130"/>
      <c r="AD315" s="1130"/>
      <c r="AE315" s="1130"/>
      <c r="AF315" s="1130"/>
      <c r="AG315" s="1130"/>
      <c r="AH315" s="1130"/>
      <c r="AI315" s="1130"/>
      <c r="AJ315" s="1130"/>
      <c r="AK315" s="1130"/>
      <c r="AL315" s="10"/>
      <c r="AN315" s="281"/>
    </row>
    <row r="316" spans="2:40" s="4" customFormat="1" ht="12.75" customHeight="1">
      <c r="B316" s="41" t="s">
        <v>99</v>
      </c>
      <c r="C316" s="41"/>
      <c r="D316" s="41"/>
      <c r="E316" s="41"/>
      <c r="F316" s="41"/>
      <c r="G316"/>
      <c r="H316" s="1130" t="s">
        <v>2422</v>
      </c>
      <c r="I316" s="1130"/>
      <c r="J316" s="1130"/>
      <c r="K316" s="1130"/>
      <c r="L316" s="1130"/>
      <c r="M316" s="1130"/>
      <c r="N316" s="1130"/>
      <c r="O316" s="1130"/>
      <c r="P316" s="1130"/>
      <c r="Q316" s="1130"/>
      <c r="R316" s="1130"/>
      <c r="S316"/>
      <c r="T316" s="41" t="s">
        <v>99</v>
      </c>
      <c r="U316"/>
      <c r="V316" s="41"/>
      <c r="W316" s="41"/>
      <c r="X316" s="41"/>
      <c r="Y316" s="41"/>
      <c r="Z316"/>
      <c r="AA316" s="1130"/>
      <c r="AB316" s="1130"/>
      <c r="AC316" s="1130"/>
      <c r="AD316" s="1130"/>
      <c r="AE316" s="1130"/>
      <c r="AF316" s="1130"/>
      <c r="AG316" s="1130"/>
      <c r="AH316" s="1130"/>
      <c r="AI316" s="1130"/>
      <c r="AJ316" s="1130"/>
      <c r="AK316" s="1130"/>
      <c r="AL316" s="10"/>
      <c r="AN316" s="281"/>
    </row>
    <row r="317" spans="2:40" s="4" customFormat="1" ht="12.75" customHeight="1">
      <c r="B317" s="41" t="s">
        <v>374</v>
      </c>
      <c r="C317" s="41"/>
      <c r="D317" s="41"/>
      <c r="E317" s="41"/>
      <c r="F317" s="41"/>
      <c r="G317"/>
      <c r="H317" s="1130"/>
      <c r="I317" s="1130"/>
      <c r="J317" s="1130"/>
      <c r="K317" s="1130"/>
      <c r="L317" s="1130"/>
      <c r="M317" s="1130"/>
      <c r="N317" s="1130"/>
      <c r="O317" s="1130"/>
      <c r="P317" s="1130"/>
      <c r="Q317" s="1130"/>
      <c r="R317" s="1130"/>
      <c r="S317"/>
      <c r="T317" s="41" t="s">
        <v>374</v>
      </c>
      <c r="U317"/>
      <c r="V317" s="41"/>
      <c r="W317" s="41"/>
      <c r="X317" s="41"/>
      <c r="Y317" s="41"/>
      <c r="Z317"/>
      <c r="AA317" s="1130"/>
      <c r="AB317" s="1130"/>
      <c r="AC317" s="1130"/>
      <c r="AD317" s="1130"/>
      <c r="AE317" s="1130"/>
      <c r="AF317" s="1130"/>
      <c r="AG317" s="1130"/>
      <c r="AH317" s="1130"/>
      <c r="AI317" s="1130"/>
      <c r="AJ317" s="1130"/>
      <c r="AK317" s="1130"/>
      <c r="AL317" s="10"/>
      <c r="AN317" s="281"/>
    </row>
    <row r="318" spans="2:40" s="4" customFormat="1" ht="12.75" customHeight="1">
      <c r="B318" s="41" t="s">
        <v>375</v>
      </c>
      <c r="C318" s="41"/>
      <c r="D318" s="41"/>
      <c r="E318" s="41"/>
      <c r="F318" s="41"/>
      <c r="G318" s="41"/>
      <c r="H318" s="1430"/>
      <c r="I318" s="1430"/>
      <c r="J318" s="1430"/>
      <c r="K318" s="1430"/>
      <c r="L318" s="1430"/>
      <c r="M318" s="1430"/>
      <c r="N318" s="5" t="s">
        <v>818</v>
      </c>
      <c r="O318" s="5"/>
      <c r="P318" s="1419"/>
      <c r="Q318" s="1419"/>
      <c r="R318" s="1419"/>
      <c r="S318" s="41"/>
      <c r="T318" s="41" t="s">
        <v>375</v>
      </c>
      <c r="U318"/>
      <c r="V318" s="41"/>
      <c r="W318" s="41"/>
      <c r="X318" s="41"/>
      <c r="Y318" s="41"/>
      <c r="Z318"/>
      <c r="AA318" s="1430"/>
      <c r="AB318" s="1430"/>
      <c r="AC318" s="1430"/>
      <c r="AD318" s="1430"/>
      <c r="AE318" s="1430"/>
      <c r="AF318" s="1430"/>
      <c r="AG318" s="5" t="s">
        <v>818</v>
      </c>
      <c r="AH318" s="5"/>
      <c r="AI318" s="1419"/>
      <c r="AJ318" s="1419"/>
      <c r="AK318" s="1419"/>
      <c r="AL318" s="10"/>
      <c r="AN318" s="281"/>
    </row>
    <row r="319" spans="2:40" s="4" customFormat="1" ht="12.75" customHeight="1">
      <c r="B319" s="41" t="s">
        <v>88</v>
      </c>
      <c r="C319" s="41"/>
      <c r="D319" s="41"/>
      <c r="E319" s="41"/>
      <c r="F319" s="41"/>
      <c r="G319" s="41"/>
      <c r="H319" s="1130" t="s">
        <v>96</v>
      </c>
      <c r="I319" s="1130"/>
      <c r="J319" s="1130"/>
      <c r="K319" s="1130"/>
      <c r="L319" s="1130"/>
      <c r="M319" s="1130"/>
      <c r="N319" s="1130"/>
      <c r="O319" s="1130"/>
      <c r="P319" s="1130"/>
      <c r="Q319" s="1130"/>
      <c r="R319" s="1130"/>
      <c r="S319" s="41"/>
      <c r="T319" s="41" t="s">
        <v>88</v>
      </c>
      <c r="U319"/>
      <c r="V319" s="41"/>
      <c r="W319" s="41"/>
      <c r="X319" s="41"/>
      <c r="Y319" s="41"/>
      <c r="Z319"/>
      <c r="AA319" s="1130"/>
      <c r="AB319" s="1130"/>
      <c r="AC319" s="1130"/>
      <c r="AD319" s="1130"/>
      <c r="AE319" s="1130"/>
      <c r="AF319" s="1130"/>
      <c r="AG319" s="1130"/>
      <c r="AH319" s="1130"/>
      <c r="AI319" s="1130"/>
      <c r="AJ319" s="1130"/>
      <c r="AK319" s="1130"/>
      <c r="AL319" s="10"/>
      <c r="AN319" s="281"/>
    </row>
    <row r="320" spans="2:40" s="4" customFormat="1" ht="12.75" customHeight="1">
      <c r="B320" s="41" t="s">
        <v>90</v>
      </c>
      <c r="C320" s="41"/>
      <c r="D320" s="41"/>
      <c r="E320" s="41"/>
      <c r="F320" s="41"/>
      <c r="G320" s="41"/>
      <c r="H320" s="1130" t="s">
        <v>2434</v>
      </c>
      <c r="I320" s="1130"/>
      <c r="J320" s="1130"/>
      <c r="K320" s="1130"/>
      <c r="L320" s="1130"/>
      <c r="M320" s="1130"/>
      <c r="N320" s="1130"/>
      <c r="O320" s="1130"/>
      <c r="P320" s="1130"/>
      <c r="Q320" s="1130"/>
      <c r="R320" s="1130"/>
      <c r="S320" s="41"/>
      <c r="T320" s="41" t="s">
        <v>90</v>
      </c>
      <c r="U320"/>
      <c r="V320" s="41"/>
      <c r="W320" s="41"/>
      <c r="X320" s="41"/>
      <c r="Y320" s="41"/>
      <c r="Z320"/>
      <c r="AA320" s="1130"/>
      <c r="AB320" s="1130"/>
      <c r="AC320" s="1130"/>
      <c r="AD320" s="1130"/>
      <c r="AE320" s="1130"/>
      <c r="AF320" s="1130"/>
      <c r="AG320" s="1130"/>
      <c r="AH320" s="1130"/>
      <c r="AI320" s="1130"/>
      <c r="AJ320" s="1130"/>
      <c r="AK320" s="1130"/>
      <c r="AL320" s="10"/>
      <c r="AN320" s="281"/>
    </row>
    <row r="321" spans="1:76" s="4" customFormat="1" ht="12.75" customHeight="1">
      <c r="B321" s="41" t="s">
        <v>101</v>
      </c>
      <c r="C321" s="41"/>
      <c r="D321" s="41"/>
      <c r="E321" s="41"/>
      <c r="F321" s="41"/>
      <c r="G321" s="41"/>
      <c r="H321" s="1699">
        <v>0.98</v>
      </c>
      <c r="I321" s="1699"/>
      <c r="J321" s="1699"/>
      <c r="K321" s="1699"/>
      <c r="L321" s="1699"/>
      <c r="M321" s="1699"/>
      <c r="N321" s="1699"/>
      <c r="O321" s="1699"/>
      <c r="P321" s="1699"/>
      <c r="Q321" s="1699"/>
      <c r="R321" s="1699"/>
      <c r="S321" s="41"/>
      <c r="T321" s="41" t="s">
        <v>101</v>
      </c>
      <c r="U321" s="41"/>
      <c r="V321" s="41"/>
      <c r="W321" s="41"/>
      <c r="X321" s="41"/>
      <c r="Y321" s="41"/>
      <c r="Z321" s="12"/>
      <c r="AA321" s="1699"/>
      <c r="AB321" s="1699"/>
      <c r="AC321" s="1699"/>
      <c r="AD321" s="1699"/>
      <c r="AE321" s="1699"/>
      <c r="AF321" s="1699"/>
      <c r="AG321" s="1699"/>
      <c r="AH321" s="1699"/>
      <c r="AI321" s="1699"/>
      <c r="AJ321" s="1699"/>
      <c r="AK321" s="169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80"/>
      <c r="I323" s="1080"/>
      <c r="J323" s="1080"/>
      <c r="K323" s="1080"/>
      <c r="L323" s="1080"/>
      <c r="M323" s="1080"/>
      <c r="N323" s="1080"/>
      <c r="O323" s="1080"/>
      <c r="P323" s="1080"/>
      <c r="Q323" s="1080"/>
      <c r="R323" s="1080"/>
      <c r="S323"/>
      <c r="T323" s="41" t="s">
        <v>89</v>
      </c>
      <c r="U323"/>
      <c r="V323" s="41"/>
      <c r="W323" s="41"/>
      <c r="X323" s="41"/>
      <c r="Y323" s="41"/>
      <c r="Z323"/>
      <c r="AA323" s="1080"/>
      <c r="AB323" s="1080"/>
      <c r="AC323" s="1080"/>
      <c r="AD323" s="1080"/>
      <c r="AE323" s="1080"/>
      <c r="AF323" s="1080"/>
      <c r="AG323" s="1080"/>
      <c r="AH323" s="1080"/>
      <c r="AI323" s="1080"/>
      <c r="AJ323" s="1080"/>
      <c r="AK323" s="1080"/>
      <c r="AL323" s="41"/>
      <c r="AN323" s="281"/>
    </row>
    <row r="324" spans="1:76" s="4" customFormat="1" ht="12.75" customHeight="1">
      <c r="B324" s="41" t="s">
        <v>699</v>
      </c>
      <c r="C324" s="41"/>
      <c r="D324" s="41"/>
      <c r="E324" s="41"/>
      <c r="F324" s="41"/>
      <c r="G324"/>
      <c r="H324" s="1130"/>
      <c r="I324" s="1130"/>
      <c r="J324" s="1130"/>
      <c r="K324" s="1130"/>
      <c r="L324" s="1130"/>
      <c r="M324" s="1130"/>
      <c r="N324" s="1130"/>
      <c r="O324" s="1130"/>
      <c r="P324" s="1130"/>
      <c r="Q324" s="1130"/>
      <c r="R324" s="1130"/>
      <c r="S324"/>
      <c r="T324" s="41" t="s">
        <v>699</v>
      </c>
      <c r="U324"/>
      <c r="V324" s="41"/>
      <c r="W324" s="41"/>
      <c r="X324" s="41"/>
      <c r="Y324" s="41"/>
      <c r="Z324"/>
      <c r="AA324" s="1130"/>
      <c r="AB324" s="1130"/>
      <c r="AC324" s="1130"/>
      <c r="AD324" s="1130"/>
      <c r="AE324" s="1130"/>
      <c r="AF324" s="1130"/>
      <c r="AG324" s="1130"/>
      <c r="AH324" s="1130"/>
      <c r="AI324" s="1130"/>
      <c r="AJ324" s="1130"/>
      <c r="AK324" s="1130"/>
      <c r="AL324" s="41"/>
      <c r="AN324" s="281"/>
    </row>
    <row r="325" spans="1:76" s="4" customFormat="1" ht="18" customHeight="1">
      <c r="B325" s="41" t="s">
        <v>99</v>
      </c>
      <c r="C325" s="41"/>
      <c r="D325" s="41"/>
      <c r="E325" s="41"/>
      <c r="F325" s="41"/>
      <c r="G325"/>
      <c r="H325" s="1130"/>
      <c r="I325" s="1130"/>
      <c r="J325" s="1130"/>
      <c r="K325" s="1130"/>
      <c r="L325" s="1130"/>
      <c r="M325" s="1130"/>
      <c r="N325" s="1130"/>
      <c r="O325" s="1130"/>
      <c r="P325" s="1130"/>
      <c r="Q325" s="1130"/>
      <c r="R325" s="1130"/>
      <c r="S325"/>
      <c r="T325" s="41" t="s">
        <v>99</v>
      </c>
      <c r="U325"/>
      <c r="V325" s="41"/>
      <c r="W325" s="41"/>
      <c r="X325" s="41"/>
      <c r="Y325" s="41"/>
      <c r="Z325"/>
      <c r="AA325" s="1130"/>
      <c r="AB325" s="1130"/>
      <c r="AC325" s="1130"/>
      <c r="AD325" s="1130"/>
      <c r="AE325" s="1130"/>
      <c r="AF325" s="1130"/>
      <c r="AG325" s="1130"/>
      <c r="AH325" s="1130"/>
      <c r="AI325" s="1130"/>
      <c r="AJ325" s="1130"/>
      <c r="AK325" s="1130"/>
      <c r="AL325" s="41"/>
      <c r="AN325" s="281"/>
    </row>
    <row r="326" spans="1:76" s="4" customFormat="1" ht="12.75" customHeight="1">
      <c r="B326" s="41" t="s">
        <v>374</v>
      </c>
      <c r="C326" s="41"/>
      <c r="D326" s="41"/>
      <c r="E326" s="41"/>
      <c r="F326" s="41"/>
      <c r="G326"/>
      <c r="H326" s="1130"/>
      <c r="I326" s="1130"/>
      <c r="J326" s="1130"/>
      <c r="K326" s="1130"/>
      <c r="L326" s="1130"/>
      <c r="M326" s="1130"/>
      <c r="N326" s="1130"/>
      <c r="O326" s="1130"/>
      <c r="P326" s="1130"/>
      <c r="Q326" s="1130"/>
      <c r="R326" s="1130"/>
      <c r="S326"/>
      <c r="T326" s="41" t="s">
        <v>374</v>
      </c>
      <c r="U326"/>
      <c r="V326" s="41"/>
      <c r="W326" s="41"/>
      <c r="X326" s="41"/>
      <c r="Y326" s="41"/>
      <c r="Z326"/>
      <c r="AA326" s="1130"/>
      <c r="AB326" s="1130"/>
      <c r="AC326" s="1130"/>
      <c r="AD326" s="1130"/>
      <c r="AE326" s="1130"/>
      <c r="AF326" s="1130"/>
      <c r="AG326" s="1130"/>
      <c r="AH326" s="1130"/>
      <c r="AI326" s="1130"/>
      <c r="AJ326" s="1130"/>
      <c r="AK326" s="1130"/>
      <c r="AL326" s="41"/>
      <c r="AN326" s="281"/>
    </row>
    <row r="327" spans="1:76" s="4" customFormat="1" ht="12.75" customHeight="1">
      <c r="B327" s="41" t="s">
        <v>375</v>
      </c>
      <c r="C327" s="41"/>
      <c r="D327" s="41"/>
      <c r="E327" s="41"/>
      <c r="F327" s="41"/>
      <c r="G327" s="41"/>
      <c r="H327" s="1430"/>
      <c r="I327" s="1430"/>
      <c r="J327" s="1430"/>
      <c r="K327" s="1430"/>
      <c r="L327" s="1430"/>
      <c r="M327" s="1430"/>
      <c r="N327" s="5" t="s">
        <v>818</v>
      </c>
      <c r="O327" s="5"/>
      <c r="P327" s="1419"/>
      <c r="Q327" s="1419"/>
      <c r="R327" s="1419"/>
      <c r="S327" s="41"/>
      <c r="T327" s="41" t="s">
        <v>375</v>
      </c>
      <c r="U327"/>
      <c r="V327" s="41"/>
      <c r="W327" s="41"/>
      <c r="X327" s="41"/>
      <c r="Y327" s="41"/>
      <c r="Z327"/>
      <c r="AA327" s="1430"/>
      <c r="AB327" s="1430"/>
      <c r="AC327" s="1430"/>
      <c r="AD327" s="1430"/>
      <c r="AE327" s="1430"/>
      <c r="AF327" s="1430"/>
      <c r="AG327" s="5" t="s">
        <v>818</v>
      </c>
      <c r="AH327" s="5"/>
      <c r="AI327" s="1419"/>
      <c r="AJ327" s="1419"/>
      <c r="AK327" s="1419"/>
      <c r="AL327" s="41"/>
      <c r="AN327" s="281"/>
    </row>
    <row r="328" spans="1:76" s="4" customFormat="1" ht="12.75" customHeight="1">
      <c r="B328" s="41" t="s">
        <v>88</v>
      </c>
      <c r="C328" s="41"/>
      <c r="D328" s="41"/>
      <c r="E328" s="41"/>
      <c r="F328" s="41"/>
      <c r="G328" s="41"/>
      <c r="H328" s="1130"/>
      <c r="I328" s="1130"/>
      <c r="J328" s="1130"/>
      <c r="K328" s="1130"/>
      <c r="L328" s="1130"/>
      <c r="M328" s="1130"/>
      <c r="N328" s="1130"/>
      <c r="O328" s="1130"/>
      <c r="P328" s="1130"/>
      <c r="Q328" s="1130"/>
      <c r="R328" s="1130"/>
      <c r="S328" s="41"/>
      <c r="T328" s="41" t="s">
        <v>88</v>
      </c>
      <c r="U328"/>
      <c r="V328" s="41"/>
      <c r="W328" s="41"/>
      <c r="X328" s="41"/>
      <c r="Y328" s="41"/>
      <c r="Z328"/>
      <c r="AA328" s="1130"/>
      <c r="AB328" s="1130"/>
      <c r="AC328" s="1130"/>
      <c r="AD328" s="1130"/>
      <c r="AE328" s="1130"/>
      <c r="AF328" s="1130"/>
      <c r="AG328" s="1130"/>
      <c r="AH328" s="1130"/>
      <c r="AI328" s="1130"/>
      <c r="AJ328" s="1130"/>
      <c r="AK328" s="1130"/>
      <c r="AL328" s="41"/>
      <c r="AN328" s="281"/>
    </row>
    <row r="329" spans="1:76" s="4" customFormat="1" ht="12.75" customHeight="1">
      <c r="B329" s="41" t="s">
        <v>90</v>
      </c>
      <c r="C329" s="41"/>
      <c r="D329" s="41"/>
      <c r="E329" s="41"/>
      <c r="F329" s="41"/>
      <c r="G329" s="41"/>
      <c r="H329" s="1130"/>
      <c r="I329" s="1130"/>
      <c r="J329" s="1130"/>
      <c r="K329" s="1130"/>
      <c r="L329" s="1130"/>
      <c r="M329" s="1130"/>
      <c r="N329" s="1130"/>
      <c r="O329" s="1130"/>
      <c r="P329" s="1130"/>
      <c r="Q329" s="1130"/>
      <c r="R329" s="1130"/>
      <c r="S329" s="41"/>
      <c r="T329" s="41" t="s">
        <v>90</v>
      </c>
      <c r="U329"/>
      <c r="V329" s="41"/>
      <c r="W329" s="41"/>
      <c r="X329" s="41"/>
      <c r="Y329" s="41"/>
      <c r="Z329"/>
      <c r="AA329" s="1130"/>
      <c r="AB329" s="1130"/>
      <c r="AC329" s="1130"/>
      <c r="AD329" s="1130"/>
      <c r="AE329" s="1130"/>
      <c r="AF329" s="1130"/>
      <c r="AG329" s="1130"/>
      <c r="AH329" s="1130"/>
      <c r="AI329" s="1130"/>
      <c r="AJ329" s="1130"/>
      <c r="AK329" s="1130"/>
      <c r="AL329" s="41"/>
      <c r="AN329" s="281"/>
    </row>
    <row r="330" spans="1:76" s="4" customFormat="1" ht="12.75" customHeight="1">
      <c r="B330" s="41" t="s">
        <v>101</v>
      </c>
      <c r="C330" s="41"/>
      <c r="D330" s="41"/>
      <c r="E330" s="41"/>
      <c r="F330" s="41"/>
      <c r="G330" s="41"/>
      <c r="H330" s="1699"/>
      <c r="I330" s="1699"/>
      <c r="J330" s="1699"/>
      <c r="K330" s="1699"/>
      <c r="L330" s="1699"/>
      <c r="M330" s="1699"/>
      <c r="N330" s="1699"/>
      <c r="O330" s="1699"/>
      <c r="P330" s="1699"/>
      <c r="Q330" s="1699"/>
      <c r="R330" s="1699"/>
      <c r="S330" s="41"/>
      <c r="T330" s="41" t="s">
        <v>101</v>
      </c>
      <c r="U330" s="41"/>
      <c r="V330" s="41"/>
      <c r="W330" s="41"/>
      <c r="X330" s="41"/>
      <c r="Y330" s="41"/>
      <c r="Z330" s="12"/>
      <c r="AA330" s="1699"/>
      <c r="AB330" s="1699"/>
      <c r="AC330" s="1699"/>
      <c r="AD330" s="1699"/>
      <c r="AE330" s="1699"/>
      <c r="AF330" s="1699"/>
      <c r="AG330" s="1699"/>
      <c r="AH330" s="1699"/>
      <c r="AI330" s="1699"/>
      <c r="AJ330" s="1699"/>
      <c r="AK330" s="169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48" t="s">
        <v>364</v>
      </c>
      <c r="AF333" s="1748"/>
      <c r="AG333" s="1748"/>
      <c r="AH333" s="1748"/>
      <c r="AI333" s="1748"/>
      <c r="AJ333" s="1748"/>
      <c r="AK333" s="1748"/>
      <c r="AL333" s="3"/>
      <c r="AM333" s="827"/>
      <c r="AN333" s="3"/>
    </row>
    <row r="334" spans="1:76" s="4" customFormat="1" ht="12.75" customHeight="1">
      <c r="A334" s="3"/>
      <c r="B334" s="5"/>
      <c r="C334" s="1739" t="s">
        <v>1838</v>
      </c>
      <c r="D334" s="1739"/>
      <c r="E334" s="1739"/>
      <c r="F334" s="1739"/>
      <c r="G334" s="1739"/>
      <c r="H334" s="1739"/>
      <c r="I334" s="1739"/>
      <c r="J334" s="1739"/>
      <c r="K334" s="1739"/>
      <c r="L334" s="1739"/>
      <c r="M334" s="1739"/>
      <c r="N334" s="1739"/>
      <c r="O334" s="1739"/>
      <c r="P334" s="1739"/>
      <c r="Q334" s="1739"/>
      <c r="R334" s="1739"/>
      <c r="S334" s="1739"/>
      <c r="T334" s="1739"/>
      <c r="U334" s="1739"/>
      <c r="V334" s="1739"/>
      <c r="W334" s="1739"/>
      <c r="X334" s="1739"/>
      <c r="Y334" s="1739"/>
      <c r="Z334" s="1739"/>
      <c r="AA334" s="1739"/>
      <c r="AB334" s="1739"/>
      <c r="AC334" s="1739"/>
      <c r="AD334" s="1739"/>
      <c r="AE334" s="1739"/>
      <c r="AF334" s="1739"/>
      <c r="AG334" s="1739"/>
      <c r="AH334" s="1739"/>
      <c r="AI334" s="1739"/>
      <c r="AJ334" s="173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39"/>
      <c r="D335" s="1739"/>
      <c r="E335" s="1739"/>
      <c r="F335" s="1739"/>
      <c r="G335" s="1739"/>
      <c r="H335" s="1739"/>
      <c r="I335" s="1739"/>
      <c r="J335" s="1739"/>
      <c r="K335" s="1739"/>
      <c r="L335" s="1739"/>
      <c r="M335" s="1739"/>
      <c r="N335" s="1739"/>
      <c r="O335" s="1739"/>
      <c r="P335" s="1739"/>
      <c r="Q335" s="1739"/>
      <c r="R335" s="1739"/>
      <c r="S335" s="1739"/>
      <c r="T335" s="1739"/>
      <c r="U335" s="1739"/>
      <c r="V335" s="1739"/>
      <c r="W335" s="1739"/>
      <c r="X335" s="1739"/>
      <c r="Y335" s="1739"/>
      <c r="Z335" s="1739"/>
      <c r="AA335" s="1739"/>
      <c r="AB335" s="1739"/>
      <c r="AC335" s="1739"/>
      <c r="AD335" s="1739"/>
      <c r="AE335" s="1739"/>
      <c r="AF335" s="1739"/>
      <c r="AG335" s="1739"/>
      <c r="AH335" s="1739"/>
      <c r="AI335" s="1739"/>
      <c r="AJ335" s="173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39"/>
      <c r="D336" s="1739"/>
      <c r="E336" s="1739"/>
      <c r="F336" s="1739"/>
      <c r="G336" s="1739"/>
      <c r="H336" s="1739"/>
      <c r="I336" s="1739"/>
      <c r="J336" s="1739"/>
      <c r="K336" s="1739"/>
      <c r="L336" s="1739"/>
      <c r="M336" s="1739"/>
      <c r="N336" s="1739"/>
      <c r="O336" s="1739"/>
      <c r="P336" s="1739"/>
      <c r="Q336" s="1739"/>
      <c r="R336" s="1739"/>
      <c r="S336" s="1739"/>
      <c r="T336" s="1739"/>
      <c r="U336" s="1739"/>
      <c r="V336" s="1739"/>
      <c r="W336" s="1739"/>
      <c r="X336" s="1739"/>
      <c r="Y336" s="1739"/>
      <c r="Z336" s="1739"/>
      <c r="AA336" s="1739"/>
      <c r="AB336" s="1739"/>
      <c r="AC336" s="1739"/>
      <c r="AD336" s="1739"/>
      <c r="AE336" s="1739"/>
      <c r="AF336" s="1739"/>
      <c r="AG336" s="1739"/>
      <c r="AH336" s="1739"/>
      <c r="AI336" s="1739"/>
      <c r="AJ336" s="173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39"/>
      <c r="D337" s="1739"/>
      <c r="E337" s="1739"/>
      <c r="F337" s="1739"/>
      <c r="G337" s="1739"/>
      <c r="H337" s="1739"/>
      <c r="I337" s="1739"/>
      <c r="J337" s="1739"/>
      <c r="K337" s="1739"/>
      <c r="L337" s="1739"/>
      <c r="M337" s="1739"/>
      <c r="N337" s="1739"/>
      <c r="O337" s="1739"/>
      <c r="P337" s="1739"/>
      <c r="Q337" s="1739"/>
      <c r="R337" s="1739"/>
      <c r="S337" s="1739"/>
      <c r="T337" s="1739"/>
      <c r="U337" s="1739"/>
      <c r="V337" s="1739"/>
      <c r="W337" s="1739"/>
      <c r="X337" s="1739"/>
      <c r="Y337" s="1739"/>
      <c r="Z337" s="1739"/>
      <c r="AA337" s="1739"/>
      <c r="AB337" s="1739"/>
      <c r="AC337" s="1739"/>
      <c r="AD337" s="1739"/>
      <c r="AE337" s="1739"/>
      <c r="AF337" s="1739"/>
      <c r="AG337" s="1739"/>
      <c r="AH337" s="1739"/>
      <c r="AI337" s="1739"/>
      <c r="AJ337" s="173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39"/>
      <c r="D338" s="1739"/>
      <c r="E338" s="1739"/>
      <c r="F338" s="1739"/>
      <c r="G338" s="1739"/>
      <c r="H338" s="1739"/>
      <c r="I338" s="1739"/>
      <c r="J338" s="1739"/>
      <c r="K338" s="1739"/>
      <c r="L338" s="1739"/>
      <c r="M338" s="1739"/>
      <c r="N338" s="1739"/>
      <c r="O338" s="1739"/>
      <c r="P338" s="1739"/>
      <c r="Q338" s="1739"/>
      <c r="R338" s="1739"/>
      <c r="S338" s="1739"/>
      <c r="T338" s="1739"/>
      <c r="U338" s="1739"/>
      <c r="V338" s="1739"/>
      <c r="W338" s="1739"/>
      <c r="X338" s="1739"/>
      <c r="Y338" s="1739"/>
      <c r="Z338" s="1739"/>
      <c r="AA338" s="1739"/>
      <c r="AB338" s="1739"/>
      <c r="AC338" s="1739"/>
      <c r="AD338" s="1739"/>
      <c r="AE338" s="1739"/>
      <c r="AF338" s="1739"/>
      <c r="AG338" s="1739"/>
      <c r="AH338" s="1739"/>
      <c r="AI338" s="1739"/>
      <c r="AJ338" s="173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39"/>
      <c r="D339" s="1739"/>
      <c r="E339" s="1739"/>
      <c r="F339" s="1739"/>
      <c r="G339" s="1739"/>
      <c r="H339" s="1739"/>
      <c r="I339" s="1739"/>
      <c r="J339" s="1739"/>
      <c r="K339" s="1739"/>
      <c r="L339" s="1739"/>
      <c r="M339" s="1739"/>
      <c r="N339" s="1739"/>
      <c r="O339" s="1739"/>
      <c r="P339" s="1739"/>
      <c r="Q339" s="1739"/>
      <c r="R339" s="1739"/>
      <c r="S339" s="1739"/>
      <c r="T339" s="1739"/>
      <c r="U339" s="1739"/>
      <c r="V339" s="1739"/>
      <c r="W339" s="1739"/>
      <c r="X339" s="1739"/>
      <c r="Y339" s="1739"/>
      <c r="Z339" s="1739"/>
      <c r="AA339" s="1739"/>
      <c r="AB339" s="1739"/>
      <c r="AC339" s="1739"/>
      <c r="AD339" s="1739"/>
      <c r="AE339" s="1739"/>
      <c r="AF339" s="1739"/>
      <c r="AG339" s="1739"/>
      <c r="AH339" s="1739"/>
      <c r="AI339" s="1739"/>
      <c r="AJ339" s="173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39"/>
      <c r="D340" s="1739"/>
      <c r="E340" s="1739"/>
      <c r="F340" s="1739"/>
      <c r="G340" s="1739"/>
      <c r="H340" s="1739"/>
      <c r="I340" s="1739"/>
      <c r="J340" s="1739"/>
      <c r="K340" s="1739"/>
      <c r="L340" s="1739"/>
      <c r="M340" s="1739"/>
      <c r="N340" s="1739"/>
      <c r="O340" s="1739"/>
      <c r="P340" s="1739"/>
      <c r="Q340" s="1739"/>
      <c r="R340" s="1739"/>
      <c r="S340" s="1739"/>
      <c r="T340" s="1739"/>
      <c r="U340" s="1739"/>
      <c r="V340" s="1739"/>
      <c r="W340" s="1739"/>
      <c r="X340" s="1739"/>
      <c r="Y340" s="1739"/>
      <c r="Z340" s="1739"/>
      <c r="AA340" s="1739"/>
      <c r="AB340" s="1739"/>
      <c r="AC340" s="1739"/>
      <c r="AD340" s="1739"/>
      <c r="AE340" s="1739"/>
      <c r="AF340" s="1739"/>
      <c r="AG340" s="1739"/>
      <c r="AH340" s="1739"/>
      <c r="AI340" s="1739"/>
      <c r="AJ340" s="173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39"/>
      <c r="D341" s="1739"/>
      <c r="E341" s="1739"/>
      <c r="F341" s="1739"/>
      <c r="G341" s="1739"/>
      <c r="H341" s="1739"/>
      <c r="I341" s="1739"/>
      <c r="J341" s="1739"/>
      <c r="K341" s="1739"/>
      <c r="L341" s="1739"/>
      <c r="M341" s="1739"/>
      <c r="N341" s="1739"/>
      <c r="O341" s="1739"/>
      <c r="P341" s="1739"/>
      <c r="Q341" s="1739"/>
      <c r="R341" s="1739"/>
      <c r="S341" s="1739"/>
      <c r="T341" s="1739"/>
      <c r="U341" s="1739"/>
      <c r="V341" s="1739"/>
      <c r="W341" s="1739"/>
      <c r="X341" s="1739"/>
      <c r="Y341" s="1739"/>
      <c r="Z341" s="1739"/>
      <c r="AA341" s="1739"/>
      <c r="AB341" s="1739"/>
      <c r="AC341" s="1739"/>
      <c r="AD341" s="1739"/>
      <c r="AE341" s="1739"/>
      <c r="AF341" s="1739"/>
      <c r="AG341" s="1739"/>
      <c r="AH341" s="1739"/>
      <c r="AI341" s="1739"/>
      <c r="AJ341" s="1739"/>
      <c r="AK341" s="27"/>
      <c r="AL341" s="27"/>
      <c r="AM341" s="27"/>
      <c r="AN341" s="281"/>
      <c r="AO341" s="185"/>
    </row>
    <row r="342" spans="1:76" s="4" customFormat="1" ht="12.75" customHeight="1">
      <c r="A342" s="27"/>
      <c r="B342" s="26"/>
      <c r="C342" s="1739" t="s">
        <v>1839</v>
      </c>
      <c r="D342" s="1739"/>
      <c r="E342" s="1739"/>
      <c r="F342" s="1739"/>
      <c r="G342" s="1739"/>
      <c r="H342" s="1739"/>
      <c r="I342" s="1739"/>
      <c r="J342" s="1739"/>
      <c r="K342" s="1739"/>
      <c r="L342" s="1739"/>
      <c r="M342" s="1739"/>
      <c r="N342" s="1739"/>
      <c r="O342" s="1739"/>
      <c r="P342" s="1739"/>
      <c r="Q342" s="1739"/>
      <c r="R342" s="1739"/>
      <c r="S342" s="1739"/>
      <c r="T342" s="1739"/>
      <c r="U342" s="1739"/>
      <c r="V342" s="1739"/>
      <c r="W342" s="1739"/>
      <c r="X342" s="1739"/>
      <c r="Y342" s="1739"/>
      <c r="Z342" s="1739"/>
      <c r="AA342" s="1739"/>
      <c r="AB342" s="1739"/>
      <c r="AC342" s="1739"/>
      <c r="AD342" s="1739"/>
      <c r="AE342" s="1739"/>
      <c r="AF342" s="1739"/>
      <c r="AG342" s="1739"/>
      <c r="AH342" s="1739"/>
      <c r="AI342" s="1739"/>
      <c r="AJ342" s="1739"/>
      <c r="AK342" s="27"/>
      <c r="AL342" s="27"/>
      <c r="AM342" s="27"/>
      <c r="AN342" s="281"/>
    </row>
    <row r="343" spans="1:76" s="4" customFormat="1" ht="12.75" customHeight="1">
      <c r="A343" s="27"/>
      <c r="B343" s="26"/>
      <c r="C343" s="1739"/>
      <c r="D343" s="1739"/>
      <c r="E343" s="1739"/>
      <c r="F343" s="1739"/>
      <c r="G343" s="1739"/>
      <c r="H343" s="1739"/>
      <c r="I343" s="1739"/>
      <c r="J343" s="1739"/>
      <c r="K343" s="1739"/>
      <c r="L343" s="1739"/>
      <c r="M343" s="1739"/>
      <c r="N343" s="1739"/>
      <c r="O343" s="1739"/>
      <c r="P343" s="1739"/>
      <c r="Q343" s="1739"/>
      <c r="R343" s="1739"/>
      <c r="S343" s="1739"/>
      <c r="T343" s="1739"/>
      <c r="U343" s="1739"/>
      <c r="V343" s="1739"/>
      <c r="W343" s="1739"/>
      <c r="X343" s="1739"/>
      <c r="Y343" s="1739"/>
      <c r="Z343" s="1739"/>
      <c r="AA343" s="1739"/>
      <c r="AB343" s="1739"/>
      <c r="AC343" s="1739"/>
      <c r="AD343" s="1739"/>
      <c r="AE343" s="1739"/>
      <c r="AF343" s="1739"/>
      <c r="AG343" s="1739"/>
      <c r="AH343" s="1739"/>
      <c r="AI343" s="1739"/>
      <c r="AJ343" s="1739"/>
      <c r="AK343" s="27"/>
      <c r="AL343" s="27"/>
      <c r="AM343" s="27"/>
      <c r="AN343" s="281"/>
    </row>
    <row r="344" spans="1:76" s="4" customFormat="1" ht="12.75" customHeight="1">
      <c r="A344" s="27"/>
      <c r="B344" s="26"/>
      <c r="C344" s="1739"/>
      <c r="D344" s="1739"/>
      <c r="E344" s="1739"/>
      <c r="F344" s="1739"/>
      <c r="G344" s="1739"/>
      <c r="H344" s="1739"/>
      <c r="I344" s="1739"/>
      <c r="J344" s="1739"/>
      <c r="K344" s="1739"/>
      <c r="L344" s="1739"/>
      <c r="M344" s="1739"/>
      <c r="N344" s="1739"/>
      <c r="O344" s="1739"/>
      <c r="P344" s="1739"/>
      <c r="Q344" s="1739"/>
      <c r="R344" s="1739"/>
      <c r="S344" s="1739"/>
      <c r="T344" s="1739"/>
      <c r="U344" s="1739"/>
      <c r="V344" s="1739"/>
      <c r="W344" s="1739"/>
      <c r="X344" s="1739"/>
      <c r="Y344" s="1739"/>
      <c r="Z344" s="1739"/>
      <c r="AA344" s="1739"/>
      <c r="AB344" s="1739"/>
      <c r="AC344" s="1739"/>
      <c r="AD344" s="1739"/>
      <c r="AE344" s="1739"/>
      <c r="AF344" s="1739"/>
      <c r="AG344" s="1739"/>
      <c r="AH344" s="1739"/>
      <c r="AI344" s="1739"/>
      <c r="AJ344" s="1739"/>
      <c r="AK344" s="27"/>
      <c r="AL344" s="27"/>
      <c r="AM344" s="27"/>
      <c r="AN344" s="281"/>
      <c r="AQ344"/>
    </row>
    <row r="345" spans="1:76" s="4" customFormat="1" ht="12.75" customHeight="1">
      <c r="A345" s="27"/>
      <c r="B345" s="26"/>
      <c r="C345" s="1739"/>
      <c r="D345" s="1739"/>
      <c r="E345" s="1739"/>
      <c r="F345" s="1739"/>
      <c r="G345" s="1739"/>
      <c r="H345" s="1739"/>
      <c r="I345" s="1739"/>
      <c r="J345" s="1739"/>
      <c r="K345" s="1739"/>
      <c r="L345" s="1739"/>
      <c r="M345" s="1739"/>
      <c r="N345" s="1739"/>
      <c r="O345" s="1739"/>
      <c r="P345" s="1739"/>
      <c r="Q345" s="1739"/>
      <c r="R345" s="1739"/>
      <c r="S345" s="1739"/>
      <c r="T345" s="1739"/>
      <c r="U345" s="1739"/>
      <c r="V345" s="1739"/>
      <c r="W345" s="1739"/>
      <c r="X345" s="1739"/>
      <c r="Y345" s="1739"/>
      <c r="Z345" s="1739"/>
      <c r="AA345" s="1739"/>
      <c r="AB345" s="1739"/>
      <c r="AC345" s="1739"/>
      <c r="AD345" s="1739"/>
      <c r="AE345" s="1739"/>
      <c r="AF345" s="1739"/>
      <c r="AG345" s="1739"/>
      <c r="AH345" s="1739"/>
      <c r="AI345" s="1739"/>
      <c r="AJ345" s="1739"/>
      <c r="AK345" s="27"/>
      <c r="AL345" s="27"/>
      <c r="AM345" s="27"/>
      <c r="AN345" s="281"/>
      <c r="AQ345"/>
    </row>
    <row r="346" spans="1:76" s="4" customFormat="1" ht="12.45" customHeight="1">
      <c r="A346" s="27"/>
      <c r="B346" s="26"/>
      <c r="C346" s="1739"/>
      <c r="D346" s="1739"/>
      <c r="E346" s="1739"/>
      <c r="F346" s="1739"/>
      <c r="G346" s="1739"/>
      <c r="H346" s="1739"/>
      <c r="I346" s="1739"/>
      <c r="J346" s="1739"/>
      <c r="K346" s="1739"/>
      <c r="L346" s="1739"/>
      <c r="M346" s="1739"/>
      <c r="N346" s="1739"/>
      <c r="O346" s="1739"/>
      <c r="P346" s="1739"/>
      <c r="Q346" s="1739"/>
      <c r="R346" s="1739"/>
      <c r="S346" s="1739"/>
      <c r="T346" s="1739"/>
      <c r="U346" s="1739"/>
      <c r="V346" s="1739"/>
      <c r="W346" s="1739"/>
      <c r="X346" s="1739"/>
      <c r="Y346" s="1739"/>
      <c r="Z346" s="1739"/>
      <c r="AA346" s="1739"/>
      <c r="AB346" s="1739"/>
      <c r="AC346" s="1739"/>
      <c r="AD346" s="1739"/>
      <c r="AE346" s="1739"/>
      <c r="AF346" s="1739"/>
      <c r="AG346" s="1739"/>
      <c r="AH346" s="1739"/>
      <c r="AI346" s="1739"/>
      <c r="AJ346" s="1739"/>
      <c r="AK346" s="27"/>
      <c r="AL346" s="27"/>
      <c r="AM346" s="27"/>
      <c r="AN346" s="281"/>
      <c r="AQ346"/>
      <c r="AR346"/>
    </row>
    <row r="347" spans="1:76" s="4" customFormat="1" ht="12.75" customHeight="1">
      <c r="A347" s="27"/>
      <c r="B347" s="26"/>
      <c r="C347" s="1739" t="s">
        <v>2294</v>
      </c>
      <c r="D347" s="1739"/>
      <c r="E347" s="1739"/>
      <c r="F347" s="1739"/>
      <c r="G347" s="1739"/>
      <c r="H347" s="1739"/>
      <c r="I347" s="1739"/>
      <c r="J347" s="1739"/>
      <c r="K347" s="1739"/>
      <c r="L347" s="1739"/>
      <c r="M347" s="1739"/>
      <c r="N347" s="1739"/>
      <c r="O347" s="1739"/>
      <c r="P347" s="1739"/>
      <c r="Q347" s="1739"/>
      <c r="R347" s="1739"/>
      <c r="S347" s="1739"/>
      <c r="T347" s="1739"/>
      <c r="U347" s="1739"/>
      <c r="V347" s="1739"/>
      <c r="W347" s="1739"/>
      <c r="X347" s="1739"/>
      <c r="Y347" s="1739"/>
      <c r="Z347" s="1739"/>
      <c r="AA347" s="1739"/>
      <c r="AB347" s="1739"/>
      <c r="AC347" s="1739"/>
      <c r="AD347" s="1739"/>
      <c r="AE347" s="1739"/>
      <c r="AF347" s="1739"/>
      <c r="AG347" s="1739"/>
      <c r="AH347" s="1739"/>
      <c r="AI347" s="1739"/>
      <c r="AJ347" s="1739"/>
      <c r="AK347" s="27"/>
      <c r="AL347" s="27"/>
      <c r="AM347" s="27"/>
      <c r="AN347" s="281"/>
      <c r="AQ347"/>
      <c r="AR347"/>
    </row>
    <row r="348" spans="1:76" s="4" customFormat="1" ht="12.75" customHeight="1">
      <c r="A348" s="27"/>
      <c r="B348" s="26"/>
      <c r="C348" s="1739"/>
      <c r="D348" s="1739"/>
      <c r="E348" s="1739"/>
      <c r="F348" s="1739"/>
      <c r="G348" s="1739"/>
      <c r="H348" s="1739"/>
      <c r="I348" s="1739"/>
      <c r="J348" s="1739"/>
      <c r="K348" s="1739"/>
      <c r="L348" s="1739"/>
      <c r="M348" s="1739"/>
      <c r="N348" s="1739"/>
      <c r="O348" s="1739"/>
      <c r="P348" s="1739"/>
      <c r="Q348" s="1739"/>
      <c r="R348" s="1739"/>
      <c r="S348" s="1739"/>
      <c r="T348" s="1739"/>
      <c r="U348" s="1739"/>
      <c r="V348" s="1739"/>
      <c r="W348" s="1739"/>
      <c r="X348" s="1739"/>
      <c r="Y348" s="1739"/>
      <c r="Z348" s="1739"/>
      <c r="AA348" s="1739"/>
      <c r="AB348" s="1739"/>
      <c r="AC348" s="1739"/>
      <c r="AD348" s="1739"/>
      <c r="AE348" s="1739"/>
      <c r="AF348" s="1739"/>
      <c r="AG348" s="1739"/>
      <c r="AH348" s="1739"/>
      <c r="AI348" s="1739"/>
      <c r="AJ348" s="1739"/>
      <c r="AK348" s="27"/>
      <c r="AL348" s="27"/>
      <c r="AM348" s="27"/>
      <c r="AN348" s="281"/>
      <c r="AR348"/>
    </row>
    <row r="349" spans="1:76" s="4" customFormat="1" ht="12.75" customHeight="1">
      <c r="A349" s="27"/>
      <c r="B349" s="26"/>
      <c r="C349" s="1739"/>
      <c r="D349" s="1739"/>
      <c r="E349" s="1739"/>
      <c r="F349" s="1739"/>
      <c r="G349" s="1739"/>
      <c r="H349" s="1739"/>
      <c r="I349" s="1739"/>
      <c r="J349" s="1739"/>
      <c r="K349" s="1739"/>
      <c r="L349" s="1739"/>
      <c r="M349" s="1739"/>
      <c r="N349" s="1739"/>
      <c r="O349" s="1739"/>
      <c r="P349" s="1739"/>
      <c r="Q349" s="1739"/>
      <c r="R349" s="1739"/>
      <c r="S349" s="1739"/>
      <c r="T349" s="1739"/>
      <c r="U349" s="1739"/>
      <c r="V349" s="1739"/>
      <c r="W349" s="1739"/>
      <c r="X349" s="1739"/>
      <c r="Y349" s="1739"/>
      <c r="Z349" s="1739"/>
      <c r="AA349" s="1739"/>
      <c r="AB349" s="1739"/>
      <c r="AC349" s="1739"/>
      <c r="AD349" s="1739"/>
      <c r="AE349" s="1739"/>
      <c r="AF349" s="1739"/>
      <c r="AG349" s="1739"/>
      <c r="AH349" s="1739"/>
      <c r="AI349" s="1739"/>
      <c r="AJ349" s="1739"/>
      <c r="AK349" s="27"/>
      <c r="AL349" s="27"/>
      <c r="AM349" s="27"/>
      <c r="AN349" s="281"/>
      <c r="AR349"/>
    </row>
    <row r="350" spans="1:76" s="4" customFormat="1" ht="12.75" customHeight="1">
      <c r="A350" s="27"/>
      <c r="B350" s="26"/>
      <c r="C350" s="1739" t="s">
        <v>1840</v>
      </c>
      <c r="D350" s="1739"/>
      <c r="E350" s="1739"/>
      <c r="F350" s="1739"/>
      <c r="G350" s="1739"/>
      <c r="H350" s="1739"/>
      <c r="I350" s="1739"/>
      <c r="J350" s="1739"/>
      <c r="K350" s="1739"/>
      <c r="L350" s="1739"/>
      <c r="M350" s="1739"/>
      <c r="N350" s="1739"/>
      <c r="O350" s="1739"/>
      <c r="P350" s="1739"/>
      <c r="Q350" s="1739"/>
      <c r="R350" s="1739"/>
      <c r="S350" s="1739"/>
      <c r="T350" s="1739"/>
      <c r="U350" s="1739"/>
      <c r="V350" s="1739"/>
      <c r="W350" s="1739"/>
      <c r="X350" s="1739"/>
      <c r="Y350" s="1739"/>
      <c r="Z350" s="1739"/>
      <c r="AA350" s="1739"/>
      <c r="AB350" s="1739"/>
      <c r="AC350" s="1739"/>
      <c r="AD350" s="1739"/>
      <c r="AE350" s="1739"/>
      <c r="AF350" s="1739"/>
      <c r="AG350" s="1739"/>
      <c r="AH350" s="1739"/>
      <c r="AI350" s="1739"/>
      <c r="AJ350" s="1739"/>
      <c r="AK350" s="27"/>
      <c r="AL350" s="27"/>
      <c r="AM350" s="27"/>
      <c r="AN350" s="281"/>
      <c r="AQ350"/>
      <c r="AR350"/>
    </row>
    <row r="351" spans="1:76" s="4" customFormat="1" ht="12.75" customHeight="1">
      <c r="A351" s="27"/>
      <c r="B351" s="26"/>
      <c r="C351" s="1739"/>
      <c r="D351" s="1739"/>
      <c r="E351" s="1739"/>
      <c r="F351" s="1739"/>
      <c r="G351" s="1739"/>
      <c r="H351" s="1739"/>
      <c r="I351" s="1739"/>
      <c r="J351" s="1739"/>
      <c r="K351" s="1739"/>
      <c r="L351" s="1739"/>
      <c r="M351" s="1739"/>
      <c r="N351" s="1739"/>
      <c r="O351" s="1739"/>
      <c r="P351" s="1739"/>
      <c r="Q351" s="1739"/>
      <c r="R351" s="1739"/>
      <c r="S351" s="1739"/>
      <c r="T351" s="1739"/>
      <c r="U351" s="1739"/>
      <c r="V351" s="1739"/>
      <c r="W351" s="1739"/>
      <c r="X351" s="1739"/>
      <c r="Y351" s="1739"/>
      <c r="Z351" s="1739"/>
      <c r="AA351" s="1739"/>
      <c r="AB351" s="1739"/>
      <c r="AC351" s="1739"/>
      <c r="AD351" s="1739"/>
      <c r="AE351" s="1739"/>
      <c r="AF351" s="1739"/>
      <c r="AG351" s="1739"/>
      <c r="AH351" s="1739"/>
      <c r="AI351" s="1739"/>
      <c r="AJ351" s="1739"/>
      <c r="AK351" s="27"/>
      <c r="AL351" s="27"/>
      <c r="AM351" s="27"/>
      <c r="AN351" s="281"/>
      <c r="AQ351"/>
      <c r="AR351"/>
    </row>
    <row r="352" spans="1:76" s="4" customFormat="1" ht="13.2" customHeight="1">
      <c r="A352" s="27"/>
      <c r="B352" s="26"/>
      <c r="C352" s="1739"/>
      <c r="D352" s="1739"/>
      <c r="E352" s="1739"/>
      <c r="F352" s="1739"/>
      <c r="G352" s="1739"/>
      <c r="H352" s="1739"/>
      <c r="I352" s="1739"/>
      <c r="J352" s="1739"/>
      <c r="K352" s="1739"/>
      <c r="L352" s="1739"/>
      <c r="M352" s="1739"/>
      <c r="N352" s="1739"/>
      <c r="O352" s="1739"/>
      <c r="P352" s="1739"/>
      <c r="Q352" s="1739"/>
      <c r="R352" s="1739"/>
      <c r="S352" s="1739"/>
      <c r="T352" s="1739"/>
      <c r="U352" s="1739"/>
      <c r="V352" s="1739"/>
      <c r="W352" s="1739"/>
      <c r="X352" s="1739"/>
      <c r="Y352" s="1739"/>
      <c r="Z352" s="1739"/>
      <c r="AA352" s="1739"/>
      <c r="AB352" s="1739"/>
      <c r="AC352" s="1739"/>
      <c r="AD352" s="1739"/>
      <c r="AE352" s="1739"/>
      <c r="AF352" s="1739"/>
      <c r="AG352" s="1739"/>
      <c r="AH352" s="1739"/>
      <c r="AI352" s="1739"/>
      <c r="AJ352" s="1739"/>
      <c r="AK352" s="27"/>
      <c r="AL352" s="27"/>
      <c r="AM352" s="27"/>
      <c r="AN352" s="281"/>
      <c r="AQ352"/>
      <c r="AR352"/>
    </row>
    <row r="353" spans="1:46" s="4" customFormat="1" ht="12.75" customHeight="1">
      <c r="A353" s="27"/>
      <c r="B353" s="26"/>
      <c r="C353" s="1739"/>
      <c r="D353" s="1739"/>
      <c r="E353" s="1739"/>
      <c r="F353" s="1739"/>
      <c r="G353" s="1739"/>
      <c r="H353" s="1739"/>
      <c r="I353" s="1739"/>
      <c r="J353" s="1739"/>
      <c r="K353" s="1739"/>
      <c r="L353" s="1739"/>
      <c r="M353" s="1739"/>
      <c r="N353" s="1739"/>
      <c r="O353" s="1739"/>
      <c r="P353" s="1739"/>
      <c r="Q353" s="1739"/>
      <c r="R353" s="1739"/>
      <c r="S353" s="1739"/>
      <c r="T353" s="1739"/>
      <c r="U353" s="1739"/>
      <c r="V353" s="1739"/>
      <c r="W353" s="1739"/>
      <c r="X353" s="1739"/>
      <c r="Y353" s="1739"/>
      <c r="Z353" s="1739"/>
      <c r="AA353" s="1739"/>
      <c r="AB353" s="1739"/>
      <c r="AC353" s="1739"/>
      <c r="AD353" s="1739"/>
      <c r="AE353" s="1739"/>
      <c r="AF353" s="1739"/>
      <c r="AG353" s="1739"/>
      <c r="AH353" s="1739"/>
      <c r="AI353" s="1739"/>
      <c r="AJ353" s="1739"/>
      <c r="AK353" s="27"/>
      <c r="AL353" s="27"/>
      <c r="AM353" s="27"/>
      <c r="AN353" s="281"/>
      <c r="AO353" s="170"/>
      <c r="AP353" s="170"/>
      <c r="AQ353"/>
    </row>
    <row r="354" spans="1:46" s="4" customFormat="1" ht="11.85" customHeight="1">
      <c r="A354" s="27"/>
      <c r="B354" s="26"/>
      <c r="C354" s="1739"/>
      <c r="D354" s="1739"/>
      <c r="E354" s="1739"/>
      <c r="F354" s="1739"/>
      <c r="G354" s="1739"/>
      <c r="H354" s="1739"/>
      <c r="I354" s="1739"/>
      <c r="J354" s="1739"/>
      <c r="K354" s="1739"/>
      <c r="L354" s="1739"/>
      <c r="M354" s="1739"/>
      <c r="N354" s="1739"/>
      <c r="O354" s="1739"/>
      <c r="P354" s="1739"/>
      <c r="Q354" s="1739"/>
      <c r="R354" s="1739"/>
      <c r="S354" s="1739"/>
      <c r="T354" s="1739"/>
      <c r="U354" s="1739"/>
      <c r="V354" s="1739"/>
      <c r="W354" s="1739"/>
      <c r="X354" s="1739"/>
      <c r="Y354" s="1739"/>
      <c r="Z354" s="1739"/>
      <c r="AA354" s="1739"/>
      <c r="AB354" s="1739"/>
      <c r="AC354" s="1739"/>
      <c r="AD354" s="1739"/>
      <c r="AE354" s="1739"/>
      <c r="AF354" s="1739"/>
      <c r="AG354" s="1739"/>
      <c r="AH354" s="1739"/>
      <c r="AI354" s="1739"/>
      <c r="AJ354" s="1739"/>
      <c r="AK354" s="27"/>
      <c r="AL354" s="27"/>
      <c r="AM354" s="27"/>
      <c r="AN354" s="281"/>
      <c r="AO354" s="688" t="s">
        <v>900</v>
      </c>
      <c r="AP354" s="71">
        <f>IF(C379="Yes",5,0)</f>
        <v>0</v>
      </c>
      <c r="AS354" s="3" t="s">
        <v>1776</v>
      </c>
    </row>
    <row r="355" spans="1:46" s="4" customFormat="1" ht="12.75" customHeight="1">
      <c r="A355" s="27"/>
      <c r="B355" s="26"/>
      <c r="C355" s="1739"/>
      <c r="D355" s="1739"/>
      <c r="E355" s="1739"/>
      <c r="F355" s="1739"/>
      <c r="G355" s="1739"/>
      <c r="H355" s="1739"/>
      <c r="I355" s="1739"/>
      <c r="J355" s="1739"/>
      <c r="K355" s="1739"/>
      <c r="L355" s="1739"/>
      <c r="M355" s="1739"/>
      <c r="N355" s="1739"/>
      <c r="O355" s="1739"/>
      <c r="P355" s="1739"/>
      <c r="Q355" s="1739"/>
      <c r="R355" s="1739"/>
      <c r="S355" s="1739"/>
      <c r="T355" s="1739"/>
      <c r="U355" s="1739"/>
      <c r="V355" s="1739"/>
      <c r="W355" s="1739"/>
      <c r="X355" s="1739"/>
      <c r="Y355" s="1739"/>
      <c r="Z355" s="1739"/>
      <c r="AA355" s="1739"/>
      <c r="AB355" s="1739"/>
      <c r="AC355" s="1739"/>
      <c r="AD355" s="1739"/>
      <c r="AE355" s="1739"/>
      <c r="AF355" s="1739"/>
      <c r="AG355" s="1739"/>
      <c r="AH355" s="1739"/>
      <c r="AI355" s="1739"/>
      <c r="AJ355" s="1739"/>
      <c r="AK355" s="27"/>
      <c r="AL355" s="27"/>
      <c r="AM355" s="27"/>
      <c r="AN355" s="281"/>
      <c r="AO355" s="688"/>
      <c r="AP355" s="71"/>
      <c r="AS355" s="1717">
        <f>IF(AQ368=0,AQ381,AQ368)</f>
        <v>10</v>
      </c>
      <c r="AT355" s="1717"/>
    </row>
    <row r="356" spans="1:46" s="4" customFormat="1" ht="12.75" customHeight="1">
      <c r="A356" s="27"/>
      <c r="B356" s="26"/>
      <c r="C356" s="1739"/>
      <c r="D356" s="1739"/>
      <c r="E356" s="1739"/>
      <c r="F356" s="1739"/>
      <c r="G356" s="1739"/>
      <c r="H356" s="1739"/>
      <c r="I356" s="1739"/>
      <c r="J356" s="1739"/>
      <c r="K356" s="1739"/>
      <c r="L356" s="1739"/>
      <c r="M356" s="1739"/>
      <c r="N356" s="1739"/>
      <c r="O356" s="1739"/>
      <c r="P356" s="1739"/>
      <c r="Q356" s="1739"/>
      <c r="R356" s="1739"/>
      <c r="S356" s="1739"/>
      <c r="T356" s="1739"/>
      <c r="U356" s="1739"/>
      <c r="V356" s="1739"/>
      <c r="W356" s="1739"/>
      <c r="X356" s="1739"/>
      <c r="Y356" s="1739"/>
      <c r="Z356" s="1739"/>
      <c r="AA356" s="1739"/>
      <c r="AB356" s="1739"/>
      <c r="AC356" s="1739"/>
      <c r="AD356" s="1739"/>
      <c r="AE356" s="1739"/>
      <c r="AF356" s="1739"/>
      <c r="AG356" s="1739"/>
      <c r="AH356" s="1739"/>
      <c r="AI356" s="1739"/>
      <c r="AJ356" s="1739"/>
      <c r="AK356" s="27"/>
      <c r="AL356" s="27"/>
      <c r="AM356" s="27"/>
      <c r="AN356" s="281"/>
      <c r="AO356" s="688" t="s">
        <v>901</v>
      </c>
      <c r="AP356" s="71">
        <f>IF(C389="Yes",5,0)</f>
        <v>0</v>
      </c>
      <c r="AS356" s="3" t="s">
        <v>1809</v>
      </c>
    </row>
    <row r="357" spans="1:46" s="4" customFormat="1" ht="12.75" customHeight="1">
      <c r="A357" s="27"/>
      <c r="B357" s="26"/>
      <c r="C357" s="1739"/>
      <c r="D357" s="1739"/>
      <c r="E357" s="1739"/>
      <c r="F357" s="1739"/>
      <c r="G357" s="1739"/>
      <c r="H357" s="1739"/>
      <c r="I357" s="1739"/>
      <c r="J357" s="1739"/>
      <c r="K357" s="1739"/>
      <c r="L357" s="1739"/>
      <c r="M357" s="1739"/>
      <c r="N357" s="1739"/>
      <c r="O357" s="1739"/>
      <c r="P357" s="1739"/>
      <c r="Q357" s="1739"/>
      <c r="R357" s="1739"/>
      <c r="S357" s="1739"/>
      <c r="T357" s="1739"/>
      <c r="U357" s="1739"/>
      <c r="V357" s="1739"/>
      <c r="W357" s="1739"/>
      <c r="X357" s="1739"/>
      <c r="Y357" s="1739"/>
      <c r="Z357" s="1739"/>
      <c r="AA357" s="1739"/>
      <c r="AB357" s="1739"/>
      <c r="AC357" s="1739"/>
      <c r="AD357" s="1739"/>
      <c r="AE357" s="1739"/>
      <c r="AF357" s="1739"/>
      <c r="AG357" s="1739"/>
      <c r="AH357" s="1739"/>
      <c r="AI357" s="1739"/>
      <c r="AJ357" s="1739"/>
      <c r="AK357" s="27"/>
      <c r="AL357" s="27"/>
      <c r="AM357" s="27"/>
      <c r="AN357" s="281"/>
      <c r="AO357" s="688"/>
      <c r="AP357" s="71"/>
      <c r="AS357" s="1717">
        <f>IF(AND(AQ368&gt;0,AQ381&gt;0),(AQ368+AQ381)/2,0)</f>
        <v>0</v>
      </c>
      <c r="AT357" s="1717"/>
    </row>
    <row r="358" spans="1:46" s="4" customFormat="1" ht="12.75" customHeight="1">
      <c r="A358" s="27"/>
      <c r="B358" s="26"/>
      <c r="C358" s="1739"/>
      <c r="D358" s="1739"/>
      <c r="E358" s="1739"/>
      <c r="F358" s="1739"/>
      <c r="G358" s="1739"/>
      <c r="H358" s="1739"/>
      <c r="I358" s="1739"/>
      <c r="J358" s="1739"/>
      <c r="K358" s="1739"/>
      <c r="L358" s="1739"/>
      <c r="M358" s="1739"/>
      <c r="N358" s="1739"/>
      <c r="O358" s="1739"/>
      <c r="P358" s="1739"/>
      <c r="Q358" s="1739"/>
      <c r="R358" s="1739"/>
      <c r="S358" s="1739"/>
      <c r="T358" s="1739"/>
      <c r="U358" s="1739"/>
      <c r="V358" s="1739"/>
      <c r="W358" s="1739"/>
      <c r="X358" s="1739"/>
      <c r="Y358" s="1739"/>
      <c r="Z358" s="1739"/>
      <c r="AA358" s="1739"/>
      <c r="AB358" s="1739"/>
      <c r="AC358" s="1739"/>
      <c r="AD358" s="1739"/>
      <c r="AE358" s="1739"/>
      <c r="AF358" s="1739"/>
      <c r="AG358" s="1739"/>
      <c r="AH358" s="1739"/>
      <c r="AI358" s="1739"/>
      <c r="AJ358" s="1739"/>
      <c r="AK358" s="27"/>
      <c r="AL358" s="27"/>
      <c r="AM358" s="27"/>
      <c r="AN358" s="281"/>
      <c r="AO358" s="688" t="s">
        <v>907</v>
      </c>
      <c r="AP358" s="71">
        <f>IF(C399="Yes",7,0)</f>
        <v>7</v>
      </c>
    </row>
    <row r="359" spans="1:46" s="4" customFormat="1" ht="12.75" customHeight="1">
      <c r="A359" s="27"/>
      <c r="B359" s="26"/>
      <c r="C359" s="1739" t="s">
        <v>1841</v>
      </c>
      <c r="D359" s="1739"/>
      <c r="E359" s="1739"/>
      <c r="F359" s="1739"/>
      <c r="G359" s="1739"/>
      <c r="H359" s="1739"/>
      <c r="I359" s="1739"/>
      <c r="J359" s="1739"/>
      <c r="K359" s="1739"/>
      <c r="L359" s="1739"/>
      <c r="M359" s="1739"/>
      <c r="N359" s="1739"/>
      <c r="O359" s="1739"/>
      <c r="P359" s="1739"/>
      <c r="Q359" s="1739"/>
      <c r="R359" s="1739"/>
      <c r="S359" s="1739"/>
      <c r="T359" s="1739"/>
      <c r="U359" s="1739"/>
      <c r="V359" s="1739"/>
      <c r="W359" s="1739"/>
      <c r="X359" s="1739"/>
      <c r="Y359" s="1739"/>
      <c r="Z359" s="1739"/>
      <c r="AA359" s="1739"/>
      <c r="AB359" s="1739"/>
      <c r="AC359" s="1739"/>
      <c r="AD359" s="1739"/>
      <c r="AE359" s="1739"/>
      <c r="AF359" s="1739"/>
      <c r="AG359" s="1739"/>
      <c r="AH359" s="1739"/>
      <c r="AI359" s="1739"/>
      <c r="AJ359" s="1739"/>
      <c r="AK359" s="27"/>
      <c r="AL359" s="27"/>
      <c r="AM359" s="27"/>
      <c r="AN359" s="281"/>
      <c r="AO359" s="281"/>
      <c r="AP359" s="71">
        <f>IF(C401="Yes",5,0)</f>
        <v>0</v>
      </c>
    </row>
    <row r="360" spans="1:46" s="4" customFormat="1" ht="12.75" customHeight="1">
      <c r="A360" s="27"/>
      <c r="B360" s="26"/>
      <c r="C360" s="1739"/>
      <c r="D360" s="1739"/>
      <c r="E360" s="1739"/>
      <c r="F360" s="1739"/>
      <c r="G360" s="1739"/>
      <c r="H360" s="1739"/>
      <c r="I360" s="1739"/>
      <c r="J360" s="1739"/>
      <c r="K360" s="1739"/>
      <c r="L360" s="1739"/>
      <c r="M360" s="1739"/>
      <c r="N360" s="1739"/>
      <c r="O360" s="1739"/>
      <c r="P360" s="1739"/>
      <c r="Q360" s="1739"/>
      <c r="R360" s="1739"/>
      <c r="S360" s="1739"/>
      <c r="T360" s="1739"/>
      <c r="U360" s="1739"/>
      <c r="V360" s="1739"/>
      <c r="W360" s="1739"/>
      <c r="X360" s="1739"/>
      <c r="Y360" s="1739"/>
      <c r="Z360" s="1739"/>
      <c r="AA360" s="1739"/>
      <c r="AB360" s="1739"/>
      <c r="AC360" s="1739"/>
      <c r="AD360" s="1739"/>
      <c r="AE360" s="1739"/>
      <c r="AF360" s="1739"/>
      <c r="AG360" s="1739"/>
      <c r="AH360" s="1739"/>
      <c r="AI360" s="1739"/>
      <c r="AJ360" s="1739"/>
      <c r="AK360" s="27"/>
      <c r="AL360" s="27"/>
      <c r="AM360" s="27"/>
      <c r="AN360" s="281"/>
      <c r="AO360" s="281"/>
      <c r="AP360" s="71"/>
    </row>
    <row r="361" spans="1:46" s="4" customFormat="1" ht="12.75" customHeight="1">
      <c r="A361" s="27"/>
      <c r="B361" s="26"/>
      <c r="C361" s="1739"/>
      <c r="D361" s="1739"/>
      <c r="E361" s="1739"/>
      <c r="F361" s="1739"/>
      <c r="G361" s="1739"/>
      <c r="H361" s="1739"/>
      <c r="I361" s="1739"/>
      <c r="J361" s="1739"/>
      <c r="K361" s="1739"/>
      <c r="L361" s="1739"/>
      <c r="M361" s="1739"/>
      <c r="N361" s="1739"/>
      <c r="O361" s="1739"/>
      <c r="P361" s="1739"/>
      <c r="Q361" s="1739"/>
      <c r="R361" s="1739"/>
      <c r="S361" s="1739"/>
      <c r="T361" s="1739"/>
      <c r="U361" s="1739"/>
      <c r="V361" s="1739"/>
      <c r="W361" s="1739"/>
      <c r="X361" s="1739"/>
      <c r="Y361" s="1739"/>
      <c r="Z361" s="1739"/>
      <c r="AA361" s="1739"/>
      <c r="AB361" s="1739"/>
      <c r="AC361" s="1739"/>
      <c r="AD361" s="1739"/>
      <c r="AE361" s="1739"/>
      <c r="AF361" s="1739"/>
      <c r="AG361" s="1739"/>
      <c r="AH361" s="1739"/>
      <c r="AI361" s="1739"/>
      <c r="AJ361" s="1739"/>
      <c r="AK361" s="27"/>
      <c r="AL361" s="27"/>
      <c r="AM361" s="27"/>
      <c r="AN361" s="281"/>
      <c r="AO361" s="688" t="s">
        <v>431</v>
      </c>
      <c r="AP361" s="71">
        <f>IF(C409="Yes",5,0)</f>
        <v>0</v>
      </c>
    </row>
    <row r="362" spans="1:46" s="4" customFormat="1" ht="11.85" customHeight="1">
      <c r="A362" s="27"/>
      <c r="B362" s="26"/>
      <c r="C362" s="1739"/>
      <c r="D362" s="1739"/>
      <c r="E362" s="1739"/>
      <c r="F362" s="1739"/>
      <c r="G362" s="1739"/>
      <c r="H362" s="1739"/>
      <c r="I362" s="1739"/>
      <c r="J362" s="1739"/>
      <c r="K362" s="1739"/>
      <c r="L362" s="1739"/>
      <c r="M362" s="1739"/>
      <c r="N362" s="1739"/>
      <c r="O362" s="1739"/>
      <c r="P362" s="1739"/>
      <c r="Q362" s="1739"/>
      <c r="R362" s="1739"/>
      <c r="S362" s="1739"/>
      <c r="T362" s="1739"/>
      <c r="U362" s="1739"/>
      <c r="V362" s="1739"/>
      <c r="W362" s="1739"/>
      <c r="X362" s="1739"/>
      <c r="Y362" s="1739"/>
      <c r="Z362" s="1739"/>
      <c r="AA362" s="1739"/>
      <c r="AB362" s="1739"/>
      <c r="AC362" s="1739"/>
      <c r="AD362" s="1739"/>
      <c r="AE362" s="1739"/>
      <c r="AF362" s="1739"/>
      <c r="AG362" s="1739"/>
      <c r="AH362" s="1739"/>
      <c r="AI362" s="1739"/>
      <c r="AJ362" s="1739"/>
      <c r="AK362" s="27"/>
      <c r="AL362" s="27"/>
      <c r="AM362" s="27"/>
      <c r="AN362" s="281"/>
      <c r="AO362" s="281"/>
      <c r="AP362" s="71">
        <f>IF(C411="Yes",3,0)</f>
        <v>3</v>
      </c>
    </row>
    <row r="363" spans="1:46" s="4" customFormat="1" ht="12.45" customHeight="1">
      <c r="A363" s="27"/>
      <c r="B363" s="26"/>
      <c r="C363" s="1739"/>
      <c r="D363" s="1739"/>
      <c r="E363" s="1739"/>
      <c r="F363" s="1739"/>
      <c r="G363" s="1739"/>
      <c r="H363" s="1739"/>
      <c r="I363" s="1739"/>
      <c r="J363" s="1739"/>
      <c r="K363" s="1739"/>
      <c r="L363" s="1739"/>
      <c r="M363" s="1739"/>
      <c r="N363" s="1739"/>
      <c r="O363" s="1739"/>
      <c r="P363" s="1739"/>
      <c r="Q363" s="1739"/>
      <c r="R363" s="1739"/>
      <c r="S363" s="1739"/>
      <c r="T363" s="1739"/>
      <c r="U363" s="1739"/>
      <c r="V363" s="1739"/>
      <c r="W363" s="1739"/>
      <c r="X363" s="1739"/>
      <c r="Y363" s="1739"/>
      <c r="Z363" s="1739"/>
      <c r="AA363" s="1739"/>
      <c r="AB363" s="1739"/>
      <c r="AC363" s="1739"/>
      <c r="AD363" s="1739"/>
      <c r="AE363" s="1739"/>
      <c r="AF363" s="1739"/>
      <c r="AG363" s="1739"/>
      <c r="AH363" s="1739"/>
      <c r="AI363" s="1739"/>
      <c r="AJ363" s="1739"/>
      <c r="AK363" s="27"/>
      <c r="AL363" s="27"/>
      <c r="AM363" s="27"/>
      <c r="AN363" s="281"/>
      <c r="AO363" s="281"/>
      <c r="AP363" s="71"/>
    </row>
    <row r="364" spans="1:46" s="4" customFormat="1" ht="12.75" customHeight="1">
      <c r="A364" s="27"/>
      <c r="B364" s="26"/>
      <c r="C364" s="1739"/>
      <c r="D364" s="1739"/>
      <c r="E364" s="1739"/>
      <c r="F364" s="1739"/>
      <c r="G364" s="1739"/>
      <c r="H364" s="1739"/>
      <c r="I364" s="1739"/>
      <c r="J364" s="1739"/>
      <c r="K364" s="1739"/>
      <c r="L364" s="1739"/>
      <c r="M364" s="1739"/>
      <c r="N364" s="1739"/>
      <c r="O364" s="1739"/>
      <c r="P364" s="1739"/>
      <c r="Q364" s="1739"/>
      <c r="R364" s="1739"/>
      <c r="S364" s="1739"/>
      <c r="T364" s="1739"/>
      <c r="U364" s="1739"/>
      <c r="V364" s="1739"/>
      <c r="W364" s="1739"/>
      <c r="X364" s="1739"/>
      <c r="Y364" s="1739"/>
      <c r="Z364" s="1739"/>
      <c r="AA364" s="1739"/>
      <c r="AB364" s="1739"/>
      <c r="AC364" s="1739"/>
      <c r="AD364" s="1739"/>
      <c r="AE364" s="1739"/>
      <c r="AF364" s="1739"/>
      <c r="AG364" s="1739"/>
      <c r="AH364" s="1739"/>
      <c r="AI364" s="1739"/>
      <c r="AJ364" s="1739"/>
      <c r="AK364" s="27"/>
      <c r="AL364" s="27"/>
      <c r="AM364" s="27"/>
      <c r="AN364" s="281"/>
      <c r="AO364" s="688" t="s">
        <v>171</v>
      </c>
      <c r="AP364" s="71">
        <f>IF(C414="Yes",5,0)</f>
        <v>0</v>
      </c>
    </row>
    <row r="365" spans="1:46" s="4" customFormat="1" ht="12.75" customHeight="1">
      <c r="A365" s="27"/>
      <c r="B365" s="26"/>
      <c r="C365" s="1739"/>
      <c r="D365" s="1739"/>
      <c r="E365" s="1739"/>
      <c r="F365" s="1739"/>
      <c r="G365" s="1739"/>
      <c r="H365" s="1739"/>
      <c r="I365" s="1739"/>
      <c r="J365" s="1739"/>
      <c r="K365" s="1739"/>
      <c r="L365" s="1739"/>
      <c r="M365" s="1739"/>
      <c r="N365" s="1739"/>
      <c r="O365" s="1739"/>
      <c r="P365" s="1739"/>
      <c r="Q365" s="1739"/>
      <c r="R365" s="1739"/>
      <c r="S365" s="1739"/>
      <c r="T365" s="1739"/>
      <c r="U365" s="1739"/>
      <c r="V365" s="1739"/>
      <c r="W365" s="1739"/>
      <c r="X365" s="1739"/>
      <c r="Y365" s="1739"/>
      <c r="Z365" s="1739"/>
      <c r="AA365" s="1739"/>
      <c r="AB365" s="1739"/>
      <c r="AC365" s="1739"/>
      <c r="AD365" s="1739"/>
      <c r="AE365" s="1739"/>
      <c r="AF365" s="1739"/>
      <c r="AG365" s="1739"/>
      <c r="AH365" s="1739"/>
      <c r="AI365" s="1739"/>
      <c r="AJ365" s="1739"/>
      <c r="AK365" s="27"/>
      <c r="AL365" s="27"/>
      <c r="AM365" s="27"/>
      <c r="AN365" s="281"/>
      <c r="AO365" s="688" t="s">
        <v>434</v>
      </c>
      <c r="AP365" s="71">
        <f>IF(C423="Yes",5,0)</f>
        <v>0</v>
      </c>
    </row>
    <row r="366" spans="1:46" s="4" customFormat="1" ht="12.75" customHeight="1">
      <c r="A366" s="27"/>
      <c r="B366" s="26"/>
      <c r="C366" s="1739" t="s">
        <v>1842</v>
      </c>
      <c r="D366" s="1739"/>
      <c r="E366" s="1739"/>
      <c r="F366" s="1739"/>
      <c r="G366" s="1739"/>
      <c r="H366" s="1739"/>
      <c r="I366" s="1739"/>
      <c r="J366" s="1739"/>
      <c r="K366" s="1739"/>
      <c r="L366" s="1739"/>
      <c r="M366" s="1739"/>
      <c r="N366" s="1739"/>
      <c r="O366" s="1739"/>
      <c r="P366" s="1739"/>
      <c r="Q366" s="1739"/>
      <c r="R366" s="1739"/>
      <c r="S366" s="1739"/>
      <c r="T366" s="1739"/>
      <c r="U366" s="1739"/>
      <c r="V366" s="1739"/>
      <c r="W366" s="1739"/>
      <c r="X366" s="1739"/>
      <c r="Y366" s="1739"/>
      <c r="Z366" s="1739"/>
      <c r="AA366" s="1739"/>
      <c r="AB366" s="1739"/>
      <c r="AC366" s="1739"/>
      <c r="AD366" s="1739"/>
      <c r="AE366" s="1739"/>
      <c r="AF366" s="1739"/>
      <c r="AG366" s="1739"/>
      <c r="AH366" s="1739"/>
      <c r="AI366" s="1739"/>
      <c r="AJ366" s="1739"/>
      <c r="AK366" s="27"/>
      <c r="AL366" s="27"/>
      <c r="AM366" s="27"/>
      <c r="AN366" s="281"/>
      <c r="AO366" s="281"/>
      <c r="AP366" s="71">
        <f>IF(C425="Yes",3,0)</f>
        <v>0</v>
      </c>
    </row>
    <row r="367" spans="1:46" s="4" customFormat="1" ht="12.75" customHeight="1">
      <c r="A367" s="27"/>
      <c r="B367" s="26"/>
      <c r="C367" s="1739"/>
      <c r="D367" s="1739"/>
      <c r="E367" s="1739"/>
      <c r="F367" s="1739"/>
      <c r="G367" s="1739"/>
      <c r="H367" s="1739"/>
      <c r="I367" s="1739"/>
      <c r="J367" s="1739"/>
      <c r="K367" s="1739"/>
      <c r="L367" s="1739"/>
      <c r="M367" s="1739"/>
      <c r="N367" s="1739"/>
      <c r="O367" s="1739"/>
      <c r="P367" s="1739"/>
      <c r="Q367" s="1739"/>
      <c r="R367" s="1739"/>
      <c r="S367" s="1739"/>
      <c r="T367" s="1739"/>
      <c r="U367" s="1739"/>
      <c r="V367" s="1739"/>
      <c r="W367" s="1739"/>
      <c r="X367" s="1739"/>
      <c r="Y367" s="1739"/>
      <c r="Z367" s="1739"/>
      <c r="AA367" s="1739"/>
      <c r="AB367" s="1739"/>
      <c r="AC367" s="1739"/>
      <c r="AD367" s="1739"/>
      <c r="AE367" s="1739"/>
      <c r="AF367" s="1739"/>
      <c r="AG367" s="1739"/>
      <c r="AH367" s="1739"/>
      <c r="AI367" s="1739"/>
      <c r="AJ367" s="1739"/>
      <c r="AK367" s="27"/>
      <c r="AL367" s="27"/>
      <c r="AM367" s="27"/>
      <c r="AN367" s="281"/>
      <c r="AO367" s="689"/>
      <c r="AP367" s="55"/>
    </row>
    <row r="368" spans="1:46" s="4" customFormat="1" ht="68.099999999999994" customHeight="1">
      <c r="A368" s="27"/>
      <c r="B368" s="26"/>
      <c r="C368" s="1739"/>
      <c r="D368" s="1739"/>
      <c r="E368" s="1739"/>
      <c r="F368" s="1739"/>
      <c r="G368" s="1739"/>
      <c r="H368" s="1739"/>
      <c r="I368" s="1739"/>
      <c r="J368" s="1739"/>
      <c r="K368" s="1739"/>
      <c r="L368" s="1739"/>
      <c r="M368" s="1739"/>
      <c r="N368" s="1739"/>
      <c r="O368" s="1739"/>
      <c r="P368" s="1739"/>
      <c r="Q368" s="1739"/>
      <c r="R368" s="1739"/>
      <c r="S368" s="1739"/>
      <c r="T368" s="1739"/>
      <c r="U368" s="1739"/>
      <c r="V368" s="1739"/>
      <c r="W368" s="1739"/>
      <c r="X368" s="1739"/>
      <c r="Y368" s="1739"/>
      <c r="Z368" s="1739"/>
      <c r="AA368" s="1739"/>
      <c r="AB368" s="1739"/>
      <c r="AC368" s="1739"/>
      <c r="AD368" s="1739"/>
      <c r="AE368" s="1739"/>
      <c r="AF368" s="1739"/>
      <c r="AG368" s="1739"/>
      <c r="AH368" s="1739"/>
      <c r="AI368" s="1739"/>
      <c r="AJ368" s="1739"/>
      <c r="AK368" s="27"/>
      <c r="AL368" s="27"/>
      <c r="AM368" s="27"/>
      <c r="AN368" s="281"/>
      <c r="AO368" s="690" t="s">
        <v>610</v>
      </c>
      <c r="AP368" s="168">
        <f>SUM(AP354:AP367)</f>
        <v>10</v>
      </c>
      <c r="AQ368" s="1520">
        <f>IF(AP368&gt;0,AP368,0)</f>
        <v>10</v>
      </c>
      <c r="AR368" s="1520"/>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893">
        <f>Application!CQ649-U371</f>
        <v>158</v>
      </c>
      <c r="V370" s="1893"/>
      <c r="W370" s="189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894">
        <f>IF(Application!D214="SRO",Application!CQ628,Application!AG733)</f>
        <v>0</v>
      </c>
      <c r="V371" s="1894"/>
      <c r="W371" s="1894"/>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7" t="s">
        <v>1785</v>
      </c>
      <c r="G375" s="1707"/>
      <c r="H375" s="1707"/>
      <c r="I375" s="1707"/>
      <c r="J375" s="1707"/>
      <c r="K375" s="1707"/>
      <c r="L375" s="1707"/>
      <c r="M375" s="1707"/>
      <c r="N375" s="1707"/>
      <c r="O375" s="1707"/>
      <c r="P375" s="1707"/>
      <c r="Q375" s="1707"/>
      <c r="R375" s="1707"/>
      <c r="S375" s="1707"/>
      <c r="T375" s="1707"/>
      <c r="U375" s="1707"/>
      <c r="V375" s="1707"/>
      <c r="W375" s="1707"/>
      <c r="X375" s="1707"/>
      <c r="Y375" s="1707"/>
      <c r="Z375" s="1707"/>
      <c r="AA375" s="1707"/>
      <c r="AB375" s="1707"/>
      <c r="AC375" s="1707"/>
      <c r="AD375" s="1707"/>
      <c r="AE375" s="1707"/>
      <c r="AF375" s="170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700"/>
      <c r="G376" s="1700"/>
      <c r="H376" s="1700"/>
      <c r="I376" s="1700"/>
      <c r="J376" s="1700"/>
      <c r="K376" s="1700"/>
      <c r="L376" s="1700"/>
      <c r="M376" s="1700"/>
      <c r="N376" s="1700"/>
      <c r="O376" s="1700"/>
      <c r="P376" s="1700"/>
      <c r="Q376" s="1700"/>
      <c r="R376" s="1700"/>
      <c r="S376" s="1700"/>
      <c r="T376" s="1700"/>
      <c r="U376" s="1700"/>
      <c r="V376" s="1700"/>
      <c r="W376" s="1700"/>
      <c r="X376" s="1700"/>
      <c r="Y376" s="1700"/>
      <c r="Z376" s="1700"/>
      <c r="AA376" s="1700"/>
      <c r="AB376" s="1700"/>
      <c r="AC376" s="1700"/>
      <c r="AD376" s="1700"/>
      <c r="AE376" s="1700"/>
      <c r="AF376" s="170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700"/>
      <c r="G377" s="1700"/>
      <c r="H377" s="1700"/>
      <c r="I377" s="1700"/>
      <c r="J377" s="1700"/>
      <c r="K377" s="1700"/>
      <c r="L377" s="1700"/>
      <c r="M377" s="1700"/>
      <c r="N377" s="1700"/>
      <c r="O377" s="1700"/>
      <c r="P377" s="1700"/>
      <c r="Q377" s="1700"/>
      <c r="R377" s="1700"/>
      <c r="S377" s="1700"/>
      <c r="T377" s="1700"/>
      <c r="U377" s="1700"/>
      <c r="V377" s="1700"/>
      <c r="W377" s="1700"/>
      <c r="X377" s="1700"/>
      <c r="Y377" s="1700"/>
      <c r="Z377" s="1700"/>
      <c r="AA377" s="1700"/>
      <c r="AB377" s="1700"/>
      <c r="AC377" s="1700"/>
      <c r="AD377" s="1700"/>
      <c r="AE377" s="1700"/>
      <c r="AF377" s="170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700"/>
      <c r="G378" s="1700"/>
      <c r="H378" s="1700"/>
      <c r="I378" s="1700"/>
      <c r="J378" s="1700"/>
      <c r="K378" s="1700"/>
      <c r="L378" s="1700"/>
      <c r="M378" s="1700"/>
      <c r="N378" s="1700"/>
      <c r="O378" s="1700"/>
      <c r="P378" s="1700"/>
      <c r="Q378" s="1700"/>
      <c r="R378" s="1700"/>
      <c r="S378" s="1700"/>
      <c r="T378" s="1700"/>
      <c r="U378" s="1700"/>
      <c r="V378" s="1700"/>
      <c r="W378" s="1700"/>
      <c r="X378" s="1700"/>
      <c r="Y378" s="1700"/>
      <c r="Z378" s="1700"/>
      <c r="AA378" s="1700"/>
      <c r="AB378" s="1700"/>
      <c r="AC378" s="1700"/>
      <c r="AD378" s="1700"/>
      <c r="AE378" s="1700"/>
      <c r="AF378" s="170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12" t="s">
        <v>124</v>
      </c>
      <c r="D379" s="1175"/>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245" t="s">
        <v>319</v>
      </c>
      <c r="AG379" s="1245"/>
      <c r="AH379" s="1245"/>
      <c r="AI379" s="1245"/>
      <c r="AJ379" s="1245"/>
      <c r="AK379" s="1245"/>
      <c r="AL379" s="170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520">
        <f>IF(AP381&gt;0,AP381,0)</f>
        <v>0</v>
      </c>
      <c r="AR381" s="152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7" t="s">
        <v>1784</v>
      </c>
      <c r="G384" s="1707"/>
      <c r="H384" s="1707"/>
      <c r="I384" s="1707"/>
      <c r="J384" s="1707"/>
      <c r="K384" s="1707"/>
      <c r="L384" s="1707"/>
      <c r="M384" s="1707"/>
      <c r="N384" s="1707"/>
      <c r="O384" s="1707"/>
      <c r="P384" s="1707"/>
      <c r="Q384" s="1707"/>
      <c r="R384" s="1707"/>
      <c r="S384" s="1707"/>
      <c r="T384" s="1707"/>
      <c r="U384" s="1707"/>
      <c r="V384" s="1707"/>
      <c r="W384" s="1707"/>
      <c r="X384" s="1707"/>
      <c r="Y384" s="1707"/>
      <c r="Z384" s="1707"/>
      <c r="AA384" s="1707"/>
      <c r="AB384" s="1707"/>
      <c r="AC384" s="1707"/>
      <c r="AD384" s="1707"/>
      <c r="AE384" s="1707"/>
      <c r="AF384" s="170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700"/>
      <c r="G385" s="1700"/>
      <c r="H385" s="1700"/>
      <c r="I385" s="1700"/>
      <c r="J385" s="1700"/>
      <c r="K385" s="1700"/>
      <c r="L385" s="1700"/>
      <c r="M385" s="1700"/>
      <c r="N385" s="1700"/>
      <c r="O385" s="1700"/>
      <c r="P385" s="1700"/>
      <c r="Q385" s="1700"/>
      <c r="R385" s="1700"/>
      <c r="S385" s="1700"/>
      <c r="T385" s="1700"/>
      <c r="U385" s="1700"/>
      <c r="V385" s="1700"/>
      <c r="W385" s="1700"/>
      <c r="X385" s="1700"/>
      <c r="Y385" s="1700"/>
      <c r="Z385" s="1700"/>
      <c r="AA385" s="1700"/>
      <c r="AB385" s="1700"/>
      <c r="AC385" s="1700"/>
      <c r="AD385" s="1700"/>
      <c r="AE385" s="1700"/>
      <c r="AF385" s="170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700"/>
      <c r="G386" s="1700"/>
      <c r="H386" s="1700"/>
      <c r="I386" s="1700"/>
      <c r="J386" s="1700"/>
      <c r="K386" s="1700"/>
      <c r="L386" s="1700"/>
      <c r="M386" s="1700"/>
      <c r="N386" s="1700"/>
      <c r="O386" s="1700"/>
      <c r="P386" s="1700"/>
      <c r="Q386" s="1700"/>
      <c r="R386" s="1700"/>
      <c r="S386" s="1700"/>
      <c r="T386" s="1700"/>
      <c r="U386" s="1700"/>
      <c r="V386" s="1700"/>
      <c r="W386" s="1700"/>
      <c r="X386" s="1700"/>
      <c r="Y386" s="1700"/>
      <c r="Z386" s="1700"/>
      <c r="AA386" s="1700"/>
      <c r="AB386" s="1700"/>
      <c r="AC386" s="1700"/>
      <c r="AD386" s="1700"/>
      <c r="AE386" s="1700"/>
      <c r="AF386" s="170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700"/>
      <c r="G387" s="1700"/>
      <c r="H387" s="1700"/>
      <c r="I387" s="1700"/>
      <c r="J387" s="1700"/>
      <c r="K387" s="1700"/>
      <c r="L387" s="1700"/>
      <c r="M387" s="1700"/>
      <c r="N387" s="1700"/>
      <c r="O387" s="1700"/>
      <c r="P387" s="1700"/>
      <c r="Q387" s="1700"/>
      <c r="R387" s="1700"/>
      <c r="S387" s="1700"/>
      <c r="T387" s="1700"/>
      <c r="U387" s="1700"/>
      <c r="V387" s="1700"/>
      <c r="W387" s="1700"/>
      <c r="X387" s="1700"/>
      <c r="Y387" s="1700"/>
      <c r="Z387" s="1700"/>
      <c r="AA387" s="1700"/>
      <c r="AB387" s="1700"/>
      <c r="AC387" s="1700"/>
      <c r="AD387" s="1700"/>
      <c r="AE387" s="1700"/>
      <c r="AF387" s="170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700"/>
      <c r="G388" s="1700"/>
      <c r="H388" s="1700"/>
      <c r="I388" s="1700"/>
      <c r="J388" s="1700"/>
      <c r="K388" s="1700"/>
      <c r="L388" s="1700"/>
      <c r="M388" s="1700"/>
      <c r="N388" s="1700"/>
      <c r="O388" s="1700"/>
      <c r="P388" s="1700"/>
      <c r="Q388" s="1700"/>
      <c r="R388" s="1700"/>
      <c r="S388" s="1700"/>
      <c r="T388" s="1700"/>
      <c r="U388" s="1700"/>
      <c r="V388" s="1700"/>
      <c r="W388" s="1700"/>
      <c r="X388" s="1700"/>
      <c r="Y388" s="1700"/>
      <c r="Z388" s="1700"/>
      <c r="AA388" s="1700"/>
      <c r="AB388" s="1700"/>
      <c r="AC388" s="1700"/>
      <c r="AD388" s="1700"/>
      <c r="AE388" s="1700"/>
      <c r="AF388" s="170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12" t="s">
        <v>124</v>
      </c>
      <c r="D389" s="1175"/>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245" t="s">
        <v>319</v>
      </c>
      <c r="AG389" s="1245"/>
      <c r="AH389" s="1245"/>
      <c r="AI389" s="1245"/>
      <c r="AJ389" s="1245"/>
      <c r="AK389" s="1245"/>
      <c r="AL389" s="170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09"/>
      <c r="D391" s="150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245"/>
      <c r="AG391" s="1245"/>
      <c r="AH391" s="1245"/>
      <c r="AI391" s="1245"/>
      <c r="AJ391" s="1245"/>
      <c r="AK391" s="1245"/>
      <c r="AL391" s="12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37" t="s">
        <v>1948</v>
      </c>
      <c r="G394" s="1737"/>
      <c r="H394" s="1737"/>
      <c r="I394" s="1737"/>
      <c r="J394" s="1737"/>
      <c r="K394" s="1737"/>
      <c r="L394" s="1737"/>
      <c r="M394" s="1737"/>
      <c r="N394" s="1737"/>
      <c r="O394" s="1737"/>
      <c r="P394" s="1737"/>
      <c r="Q394" s="1737"/>
      <c r="R394" s="1737"/>
      <c r="S394" s="1737"/>
      <c r="T394" s="1737"/>
      <c r="U394" s="1737"/>
      <c r="V394" s="1737"/>
      <c r="W394" s="1737"/>
      <c r="X394" s="1737"/>
      <c r="Y394" s="1737"/>
      <c r="Z394" s="1737"/>
      <c r="AA394" s="1737"/>
      <c r="AB394" s="1737"/>
      <c r="AC394" s="1737"/>
      <c r="AD394" s="1737"/>
      <c r="AE394" s="1737"/>
      <c r="AF394" s="173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38"/>
      <c r="G395" s="1738"/>
      <c r="H395" s="1738"/>
      <c r="I395" s="1738"/>
      <c r="J395" s="1738"/>
      <c r="K395" s="1738"/>
      <c r="L395" s="1738"/>
      <c r="M395" s="1738"/>
      <c r="N395" s="1738"/>
      <c r="O395" s="1738"/>
      <c r="P395" s="1738"/>
      <c r="Q395" s="1738"/>
      <c r="R395" s="1738"/>
      <c r="S395" s="1738"/>
      <c r="T395" s="1738"/>
      <c r="U395" s="1738"/>
      <c r="V395" s="1738"/>
      <c r="W395" s="1738"/>
      <c r="X395" s="1738"/>
      <c r="Y395" s="1738"/>
      <c r="Z395" s="1738"/>
      <c r="AA395" s="1738"/>
      <c r="AB395" s="1738"/>
      <c r="AC395" s="1738"/>
      <c r="AD395" s="1738"/>
      <c r="AE395" s="1738"/>
      <c r="AF395" s="1738"/>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38"/>
      <c r="G396" s="1738"/>
      <c r="H396" s="1738"/>
      <c r="I396" s="1738"/>
      <c r="J396" s="1738"/>
      <c r="K396" s="1738"/>
      <c r="L396" s="1738"/>
      <c r="M396" s="1738"/>
      <c r="N396" s="1738"/>
      <c r="O396" s="1738"/>
      <c r="P396" s="1738"/>
      <c r="Q396" s="1738"/>
      <c r="R396" s="1738"/>
      <c r="S396" s="1738"/>
      <c r="T396" s="1738"/>
      <c r="U396" s="1738"/>
      <c r="V396" s="1738"/>
      <c r="W396" s="1738"/>
      <c r="X396" s="1738"/>
      <c r="Y396" s="1738"/>
      <c r="Z396" s="1738"/>
      <c r="AA396" s="1738"/>
      <c r="AB396" s="1738"/>
      <c r="AC396" s="1738"/>
      <c r="AD396" s="1738"/>
      <c r="AE396" s="1738"/>
      <c r="AF396" s="1738"/>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38"/>
      <c r="G397" s="1738"/>
      <c r="H397" s="1738"/>
      <c r="I397" s="1738"/>
      <c r="J397" s="1738"/>
      <c r="K397" s="1738"/>
      <c r="L397" s="1738"/>
      <c r="M397" s="1738"/>
      <c r="N397" s="1738"/>
      <c r="O397" s="1738"/>
      <c r="P397" s="1738"/>
      <c r="Q397" s="1738"/>
      <c r="R397" s="1738"/>
      <c r="S397" s="1738"/>
      <c r="T397" s="1738"/>
      <c r="U397" s="1738"/>
      <c r="V397" s="1738"/>
      <c r="W397" s="1738"/>
      <c r="X397" s="1738"/>
      <c r="Y397" s="1738"/>
      <c r="Z397" s="1738"/>
      <c r="AA397" s="1738"/>
      <c r="AB397" s="1738"/>
      <c r="AC397" s="1738"/>
      <c r="AD397" s="1738"/>
      <c r="AE397" s="1738"/>
      <c r="AF397" s="1738"/>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38"/>
      <c r="G398" s="1738"/>
      <c r="H398" s="1738"/>
      <c r="I398" s="1738"/>
      <c r="J398" s="1738"/>
      <c r="K398" s="1738"/>
      <c r="L398" s="1738"/>
      <c r="M398" s="1738"/>
      <c r="N398" s="1738"/>
      <c r="O398" s="1738"/>
      <c r="P398" s="1738"/>
      <c r="Q398" s="1738"/>
      <c r="R398" s="1738"/>
      <c r="S398" s="1738"/>
      <c r="T398" s="1738"/>
      <c r="U398" s="1738"/>
      <c r="V398" s="1738"/>
      <c r="W398" s="1738"/>
      <c r="X398" s="1738"/>
      <c r="Y398" s="1738"/>
      <c r="Z398" s="1738"/>
      <c r="AA398" s="1738"/>
      <c r="AB398" s="1738"/>
      <c r="AC398" s="1738"/>
      <c r="AD398" s="1738"/>
      <c r="AE398" s="1738"/>
      <c r="AF398" s="1738"/>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12" t="s">
        <v>108</v>
      </c>
      <c r="D399" s="1175"/>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245" t="s">
        <v>963</v>
      </c>
      <c r="AG399" s="1245"/>
      <c r="AH399" s="1245"/>
      <c r="AI399" s="1245"/>
      <c r="AJ399" s="1245"/>
      <c r="AK399" s="1245"/>
      <c r="AL399" s="170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12" t="s">
        <v>124</v>
      </c>
      <c r="D401" s="1175"/>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245" t="s">
        <v>319</v>
      </c>
      <c r="AG401" s="1245"/>
      <c r="AH401" s="1245"/>
      <c r="AI401" s="1245"/>
      <c r="AJ401" s="1245"/>
      <c r="AK401" s="1245"/>
      <c r="AL401" s="170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7" t="s">
        <v>1783</v>
      </c>
      <c r="G405" s="1707"/>
      <c r="H405" s="1707"/>
      <c r="I405" s="1707"/>
      <c r="J405" s="1707"/>
      <c r="K405" s="1707"/>
      <c r="L405" s="1707"/>
      <c r="M405" s="1707"/>
      <c r="N405" s="1707"/>
      <c r="O405" s="1707"/>
      <c r="P405" s="1707"/>
      <c r="Q405" s="1707"/>
      <c r="R405" s="1707"/>
      <c r="S405" s="1707"/>
      <c r="T405" s="1707"/>
      <c r="U405" s="1707"/>
      <c r="V405" s="1707"/>
      <c r="W405" s="1707"/>
      <c r="X405" s="1707"/>
      <c r="Y405" s="1707"/>
      <c r="Z405" s="1707"/>
      <c r="AA405" s="1707"/>
      <c r="AB405" s="1707"/>
      <c r="AC405" s="1707"/>
      <c r="AD405" s="1707"/>
      <c r="AE405" s="1707"/>
      <c r="AF405" s="170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700"/>
      <c r="G406" s="1700"/>
      <c r="H406" s="1700"/>
      <c r="I406" s="1700"/>
      <c r="J406" s="1700"/>
      <c r="K406" s="1700"/>
      <c r="L406" s="1700"/>
      <c r="M406" s="1700"/>
      <c r="N406" s="1700"/>
      <c r="O406" s="1700"/>
      <c r="P406" s="1700"/>
      <c r="Q406" s="1700"/>
      <c r="R406" s="1700"/>
      <c r="S406" s="1700"/>
      <c r="T406" s="1700"/>
      <c r="U406" s="1700"/>
      <c r="V406" s="1700"/>
      <c r="W406" s="1700"/>
      <c r="X406" s="1700"/>
      <c r="Y406" s="1700"/>
      <c r="Z406" s="1700"/>
      <c r="AA406" s="1700"/>
      <c r="AB406" s="1700"/>
      <c r="AC406" s="1700"/>
      <c r="AD406" s="1700"/>
      <c r="AE406" s="1700"/>
      <c r="AF406" s="170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700"/>
      <c r="G407" s="1700"/>
      <c r="H407" s="1700"/>
      <c r="I407" s="1700"/>
      <c r="J407" s="1700"/>
      <c r="K407" s="1700"/>
      <c r="L407" s="1700"/>
      <c r="M407" s="1700"/>
      <c r="N407" s="1700"/>
      <c r="O407" s="1700"/>
      <c r="P407" s="1700"/>
      <c r="Q407" s="1700"/>
      <c r="R407" s="1700"/>
      <c r="S407" s="1700"/>
      <c r="T407" s="1700"/>
      <c r="U407" s="1700"/>
      <c r="V407" s="1700"/>
      <c r="W407" s="1700"/>
      <c r="X407" s="1700"/>
      <c r="Y407" s="1700"/>
      <c r="Z407" s="1700"/>
      <c r="AA407" s="1700"/>
      <c r="AB407" s="1700"/>
      <c r="AC407" s="1700"/>
      <c r="AD407" s="1700"/>
      <c r="AE407" s="1700"/>
      <c r="AF407" s="170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700"/>
      <c r="G408" s="1700"/>
      <c r="H408" s="1700"/>
      <c r="I408" s="1700"/>
      <c r="J408" s="1700"/>
      <c r="K408" s="1700"/>
      <c r="L408" s="1700"/>
      <c r="M408" s="1700"/>
      <c r="N408" s="1700"/>
      <c r="O408" s="1700"/>
      <c r="P408" s="1700"/>
      <c r="Q408" s="1700"/>
      <c r="R408" s="1700"/>
      <c r="S408" s="1700"/>
      <c r="T408" s="1700"/>
      <c r="U408" s="1700"/>
      <c r="V408" s="1700"/>
      <c r="W408" s="1700"/>
      <c r="X408" s="1700"/>
      <c r="Y408" s="1700"/>
      <c r="Z408" s="1700"/>
      <c r="AA408" s="1700"/>
      <c r="AB408" s="1700"/>
      <c r="AC408" s="1700"/>
      <c r="AD408" s="1700"/>
      <c r="AE408" s="1700"/>
      <c r="AF408" s="170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12" t="s">
        <v>124</v>
      </c>
      <c r="D409" s="1175"/>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245" t="s">
        <v>319</v>
      </c>
      <c r="AG409" s="1245"/>
      <c r="AH409" s="1245"/>
      <c r="AI409" s="1245"/>
      <c r="AJ409" s="1245"/>
      <c r="AK409" s="1245"/>
      <c r="AL409" s="170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2" t="s">
        <v>108</v>
      </c>
      <c r="D411" s="117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245" t="s">
        <v>962</v>
      </c>
      <c r="AG411" s="1245"/>
      <c r="AH411" s="1245"/>
      <c r="AI411" s="1245"/>
      <c r="AJ411" s="1245"/>
      <c r="AK411" s="1245"/>
      <c r="AL411" s="170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12" t="s">
        <v>124</v>
      </c>
      <c r="D414" s="1175"/>
      <c r="E414" s="698" t="s">
        <v>193</v>
      </c>
      <c r="F414" s="1707" t="s">
        <v>1787</v>
      </c>
      <c r="G414" s="1707"/>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700"/>
      <c r="G415" s="1700"/>
      <c r="H415" s="1700"/>
      <c r="I415" s="1700"/>
      <c r="J415" s="1700"/>
      <c r="K415" s="1700"/>
      <c r="L415" s="1700"/>
      <c r="M415" s="1700"/>
      <c r="N415" s="1700"/>
      <c r="O415" s="1700"/>
      <c r="P415" s="1700"/>
      <c r="Q415" s="1700"/>
      <c r="R415" s="1700"/>
      <c r="S415" s="1700"/>
      <c r="T415" s="1700"/>
      <c r="U415" s="1700"/>
      <c r="V415" s="1700"/>
      <c r="W415" s="1700"/>
      <c r="X415" s="1700"/>
      <c r="Y415" s="1700"/>
      <c r="Z415" s="1700"/>
      <c r="AA415" s="1700"/>
      <c r="AB415" s="1700"/>
      <c r="AC415" s="1700"/>
      <c r="AD415" s="1700"/>
      <c r="AE415" s="1700"/>
      <c r="AF415" s="1736" t="s">
        <v>319</v>
      </c>
      <c r="AG415" s="1736"/>
      <c r="AH415" s="1736"/>
      <c r="AI415" s="1736"/>
      <c r="AJ415" s="1736"/>
      <c r="AK415" s="1736"/>
      <c r="AL415" s="174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700"/>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7" t="s">
        <v>1789</v>
      </c>
      <c r="G419" s="1707"/>
      <c r="H419" s="1707"/>
      <c r="I419" s="1707"/>
      <c r="J419" s="1707"/>
      <c r="K419" s="1707"/>
      <c r="L419" s="1707"/>
      <c r="M419" s="1707"/>
      <c r="N419" s="1707"/>
      <c r="O419" s="1707"/>
      <c r="P419" s="1707"/>
      <c r="Q419" s="1707"/>
      <c r="R419" s="1707"/>
      <c r="S419" s="1707"/>
      <c r="T419" s="1707"/>
      <c r="U419" s="1707"/>
      <c r="V419" s="1707"/>
      <c r="W419" s="1707"/>
      <c r="X419" s="1707"/>
      <c r="Y419" s="1707"/>
      <c r="Z419" s="1707"/>
      <c r="AA419" s="1707"/>
      <c r="AB419" s="1707"/>
      <c r="AC419" s="1707"/>
      <c r="AD419" s="1707"/>
      <c r="AE419" s="1707"/>
      <c r="AF419" s="718"/>
      <c r="AG419" s="718"/>
      <c r="AH419" s="718"/>
      <c r="AI419" s="718"/>
      <c r="AJ419" s="718"/>
      <c r="AK419" s="718"/>
      <c r="AL419" s="719"/>
      <c r="AM419"/>
    </row>
    <row r="420" spans="1:55">
      <c r="A420" s="5"/>
      <c r="C420" s="704"/>
      <c r="E420" s="194"/>
      <c r="F420" s="1700"/>
      <c r="G420" s="1700"/>
      <c r="H420" s="1700"/>
      <c r="I420" s="1700"/>
      <c r="J420" s="1700"/>
      <c r="K420" s="1700"/>
      <c r="L420" s="1700"/>
      <c r="M420" s="1700"/>
      <c r="N420" s="1700"/>
      <c r="O420" s="1700"/>
      <c r="P420" s="1700"/>
      <c r="Q420" s="1700"/>
      <c r="R420" s="1700"/>
      <c r="S420" s="1700"/>
      <c r="T420" s="1700"/>
      <c r="U420" s="1700"/>
      <c r="V420" s="1700"/>
      <c r="W420" s="1700"/>
      <c r="X420" s="1700"/>
      <c r="Y420" s="1700"/>
      <c r="Z420" s="1700"/>
      <c r="AA420" s="1700"/>
      <c r="AB420" s="1700"/>
      <c r="AC420" s="1700"/>
      <c r="AD420" s="1700"/>
      <c r="AE420" s="1700"/>
      <c r="AF420" s="3"/>
      <c r="AG420" s="5"/>
      <c r="AH420" s="4"/>
      <c r="AI420" s="4"/>
      <c r="AJ420" s="4"/>
      <c r="AK420" s="4"/>
      <c r="AL420" s="705"/>
      <c r="AM420"/>
    </row>
    <row r="421" spans="1:55" s="4" customFormat="1" ht="12.75" customHeight="1">
      <c r="A421" s="5"/>
      <c r="B421" s="21"/>
      <c r="C421" s="704"/>
      <c r="D421" s="21"/>
      <c r="E421" s="194"/>
      <c r="F421" s="1700"/>
      <c r="G421" s="1700"/>
      <c r="H421" s="1700"/>
      <c r="I421" s="1700"/>
      <c r="J421" s="1700"/>
      <c r="K421" s="1700"/>
      <c r="L421" s="1700"/>
      <c r="M421" s="1700"/>
      <c r="N421" s="1700"/>
      <c r="O421" s="1700"/>
      <c r="P421" s="1700"/>
      <c r="Q421" s="1700"/>
      <c r="R421" s="1700"/>
      <c r="S421" s="1700"/>
      <c r="T421" s="1700"/>
      <c r="U421" s="1700"/>
      <c r="V421" s="1700"/>
      <c r="W421" s="1700"/>
      <c r="X421" s="1700"/>
      <c r="Y421" s="1700"/>
      <c r="Z421" s="1700"/>
      <c r="AA421" s="1700"/>
      <c r="AB421" s="1700"/>
      <c r="AC421" s="1700"/>
      <c r="AD421" s="1700"/>
      <c r="AE421" s="1700"/>
      <c r="AL421" s="705"/>
      <c r="AM421"/>
      <c r="AN421" s="281"/>
    </row>
    <row r="422" spans="1:55" s="4" customFormat="1" ht="12.75" customHeight="1">
      <c r="A422" s="5"/>
      <c r="B422" s="21"/>
      <c r="C422" s="707"/>
      <c r="F422" s="1700"/>
      <c r="G422" s="1700"/>
      <c r="H422" s="1700"/>
      <c r="I422" s="1700"/>
      <c r="J422" s="1700"/>
      <c r="K422" s="1700"/>
      <c r="L422" s="1700"/>
      <c r="M422" s="1700"/>
      <c r="N422" s="1700"/>
      <c r="O422" s="1700"/>
      <c r="P422" s="1700"/>
      <c r="Q422" s="1700"/>
      <c r="R422" s="1700"/>
      <c r="S422" s="1700"/>
      <c r="T422" s="1700"/>
      <c r="U422" s="1700"/>
      <c r="V422" s="1700"/>
      <c r="W422" s="1700"/>
      <c r="X422" s="1700"/>
      <c r="Y422" s="1700"/>
      <c r="Z422" s="1700"/>
      <c r="AA422" s="1700"/>
      <c r="AB422" s="1700"/>
      <c r="AC422" s="1700"/>
      <c r="AD422" s="1700"/>
      <c r="AE422" s="1700"/>
      <c r="AL422" s="705"/>
      <c r="AM422"/>
      <c r="AN422" s="281"/>
    </row>
    <row r="423" spans="1:55" s="4" customFormat="1" ht="12.75" customHeight="1">
      <c r="A423" s="5"/>
      <c r="B423" s="21"/>
      <c r="C423" s="1712" t="s">
        <v>124</v>
      </c>
      <c r="D423" s="1175"/>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36" t="s">
        <v>319</v>
      </c>
      <c r="AG423" s="1736"/>
      <c r="AH423" s="1736"/>
      <c r="AI423" s="1736"/>
      <c r="AJ423" s="1736"/>
      <c r="AK423" s="1736"/>
      <c r="AL423" s="1743"/>
      <c r="AM423"/>
      <c r="AN423" s="281"/>
    </row>
    <row r="424" spans="1:55" s="4" customFormat="1" ht="12.75" customHeight="1">
      <c r="A424" s="5"/>
      <c r="B424" s="21"/>
      <c r="C424" s="707"/>
      <c r="AL424" s="705"/>
      <c r="AM424"/>
      <c r="AN424" s="281"/>
    </row>
    <row r="425" spans="1:55" s="4" customFormat="1" ht="12.75" customHeight="1">
      <c r="A425" s="5"/>
      <c r="B425" s="21"/>
      <c r="C425" s="1712" t="s">
        <v>124</v>
      </c>
      <c r="D425" s="117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36" t="s">
        <v>962</v>
      </c>
      <c r="AG425" s="1736"/>
      <c r="AH425" s="1736"/>
      <c r="AI425" s="1736"/>
      <c r="AJ425" s="1736"/>
      <c r="AK425" s="1736"/>
      <c r="AL425" s="174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7" t="s">
        <v>1790</v>
      </c>
      <c r="G429" s="1707"/>
      <c r="H429" s="1707"/>
      <c r="I429" s="1707"/>
      <c r="J429" s="1707"/>
      <c r="K429" s="1707"/>
      <c r="L429" s="1707"/>
      <c r="M429" s="1707"/>
      <c r="N429" s="1707"/>
      <c r="O429" s="1707"/>
      <c r="P429" s="1707"/>
      <c r="Q429" s="1707"/>
      <c r="R429" s="1707"/>
      <c r="S429" s="1707"/>
      <c r="T429" s="1707"/>
      <c r="U429" s="1707"/>
      <c r="V429" s="1707"/>
      <c r="W429" s="1707"/>
      <c r="X429" s="1707"/>
      <c r="Y429" s="1707"/>
      <c r="Z429" s="1707"/>
      <c r="AA429" s="1707"/>
      <c r="AB429" s="1707"/>
      <c r="AC429" s="1707"/>
      <c r="AD429" s="1707"/>
      <c r="AE429" s="1707"/>
      <c r="AF429" s="697"/>
      <c r="AG429" s="697"/>
      <c r="AH429" s="697"/>
      <c r="AI429" s="697"/>
      <c r="AJ429" s="697"/>
      <c r="AK429" s="697"/>
      <c r="AL429" s="721"/>
      <c r="AM429"/>
      <c r="AN429" s="281"/>
    </row>
    <row r="430" spans="1:55" s="4" customFormat="1" ht="12.75" customHeight="1">
      <c r="A430" s="5"/>
      <c r="B430" s="73"/>
      <c r="C430" s="722"/>
      <c r="D430" s="73"/>
      <c r="E430" s="194"/>
      <c r="F430" s="1700"/>
      <c r="G430" s="1700"/>
      <c r="H430" s="1700"/>
      <c r="I430" s="1700"/>
      <c r="J430" s="1700"/>
      <c r="K430" s="1700"/>
      <c r="L430" s="1700"/>
      <c r="M430" s="1700"/>
      <c r="N430" s="1700"/>
      <c r="O430" s="1700"/>
      <c r="P430" s="1700"/>
      <c r="Q430" s="1700"/>
      <c r="R430" s="1700"/>
      <c r="S430" s="1700"/>
      <c r="T430" s="1700"/>
      <c r="U430" s="1700"/>
      <c r="V430" s="1700"/>
      <c r="W430" s="1700"/>
      <c r="X430" s="1700"/>
      <c r="Y430" s="1700"/>
      <c r="Z430" s="1700"/>
      <c r="AA430" s="1700"/>
      <c r="AB430" s="1700"/>
      <c r="AC430" s="1700"/>
      <c r="AD430" s="1700"/>
      <c r="AE430" s="1700"/>
      <c r="AF430" s="3"/>
      <c r="AG430" s="5"/>
      <c r="AL430" s="705"/>
      <c r="AM430"/>
      <c r="AN430" s="281"/>
    </row>
    <row r="431" spans="1:55" s="4" customFormat="1" ht="12.45" customHeight="1">
      <c r="A431" s="5"/>
      <c r="B431" s="73"/>
      <c r="C431" s="722"/>
      <c r="D431" s="73"/>
      <c r="E431" s="194"/>
      <c r="F431" s="1700"/>
      <c r="G431" s="1700"/>
      <c r="H431" s="1700"/>
      <c r="I431" s="1700"/>
      <c r="J431" s="1700"/>
      <c r="K431" s="1700"/>
      <c r="L431" s="1700"/>
      <c r="M431" s="1700"/>
      <c r="N431" s="1700"/>
      <c r="O431" s="1700"/>
      <c r="P431" s="1700"/>
      <c r="Q431" s="1700"/>
      <c r="R431" s="1700"/>
      <c r="S431" s="1700"/>
      <c r="T431" s="1700"/>
      <c r="U431" s="1700"/>
      <c r="V431" s="1700"/>
      <c r="W431" s="1700"/>
      <c r="X431" s="1700"/>
      <c r="Y431" s="1700"/>
      <c r="Z431" s="1700"/>
      <c r="AA431" s="1700"/>
      <c r="AB431" s="1700"/>
      <c r="AC431" s="1700"/>
      <c r="AD431" s="1700"/>
      <c r="AE431" s="1700"/>
      <c r="AL431" s="705"/>
      <c r="AM431"/>
      <c r="AN431" s="281"/>
    </row>
    <row r="432" spans="1:55" s="4" customFormat="1" ht="12.75" customHeight="1">
      <c r="A432" s="5"/>
      <c r="B432" s="73"/>
      <c r="C432" s="1712" t="s">
        <v>124</v>
      </c>
      <c r="D432" s="1175"/>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36" t="s">
        <v>319</v>
      </c>
      <c r="AG432" s="1736"/>
      <c r="AH432" s="1736"/>
      <c r="AI432" s="1736"/>
      <c r="AJ432" s="1736"/>
      <c r="AK432" s="1736"/>
      <c r="AL432" s="174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707" t="s">
        <v>1791</v>
      </c>
      <c r="G435" s="1707"/>
      <c r="H435" s="1707"/>
      <c r="I435" s="1707"/>
      <c r="J435" s="1707"/>
      <c r="K435" s="1707"/>
      <c r="L435" s="1707"/>
      <c r="M435" s="1707"/>
      <c r="N435" s="1707"/>
      <c r="O435" s="1707"/>
      <c r="P435" s="1707"/>
      <c r="Q435" s="1707"/>
      <c r="R435" s="1707"/>
      <c r="S435" s="1707"/>
      <c r="T435" s="1707"/>
      <c r="U435" s="1707"/>
      <c r="V435" s="1707"/>
      <c r="W435" s="1707"/>
      <c r="X435" s="1707"/>
      <c r="Y435" s="1707"/>
      <c r="Z435" s="1707"/>
      <c r="AA435" s="1707"/>
      <c r="AB435" s="1707"/>
      <c r="AC435" s="1707"/>
      <c r="AD435" s="1707"/>
      <c r="AE435" s="170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700"/>
      <c r="G436" s="1700"/>
      <c r="H436" s="1700"/>
      <c r="I436" s="1700"/>
      <c r="J436" s="1700"/>
      <c r="K436" s="1700"/>
      <c r="L436" s="1700"/>
      <c r="M436" s="1700"/>
      <c r="N436" s="1700"/>
      <c r="O436" s="1700"/>
      <c r="P436" s="1700"/>
      <c r="Q436" s="1700"/>
      <c r="R436" s="1700"/>
      <c r="S436" s="1700"/>
      <c r="T436" s="1700"/>
      <c r="U436" s="1700"/>
      <c r="V436" s="1700"/>
      <c r="W436" s="1700"/>
      <c r="X436" s="1700"/>
      <c r="Y436" s="1700"/>
      <c r="Z436" s="1700"/>
      <c r="AA436" s="1700"/>
      <c r="AB436" s="1700"/>
      <c r="AC436" s="1700"/>
      <c r="AD436" s="1700"/>
      <c r="AE436" s="1700"/>
      <c r="AF436" s="108"/>
      <c r="AG436" s="108"/>
      <c r="AH436" s="108"/>
      <c r="AI436" s="108"/>
      <c r="AJ436" s="108"/>
      <c r="AK436" s="108"/>
      <c r="AL436" s="784"/>
      <c r="AM436"/>
      <c r="AO436" s="4"/>
      <c r="AP436" s="4"/>
    </row>
    <row r="437" spans="1:60" s="4" customFormat="1" ht="12.75" customHeight="1">
      <c r="A437" s="5"/>
      <c r="B437" s="73"/>
      <c r="C437" s="722"/>
      <c r="D437" s="73"/>
      <c r="E437" s="194"/>
      <c r="F437" s="1700"/>
      <c r="G437" s="1700"/>
      <c r="H437" s="1700"/>
      <c r="I437" s="1700"/>
      <c r="J437" s="1700"/>
      <c r="K437" s="1700"/>
      <c r="L437" s="1700"/>
      <c r="M437" s="1700"/>
      <c r="N437" s="1700"/>
      <c r="O437" s="1700"/>
      <c r="P437" s="1700"/>
      <c r="Q437" s="1700"/>
      <c r="R437" s="1700"/>
      <c r="S437" s="1700"/>
      <c r="T437" s="1700"/>
      <c r="U437" s="1700"/>
      <c r="V437" s="1700"/>
      <c r="W437" s="1700"/>
      <c r="X437" s="1700"/>
      <c r="Y437" s="1700"/>
      <c r="Z437" s="1700"/>
      <c r="AA437" s="1700"/>
      <c r="AB437" s="1700"/>
      <c r="AC437" s="1700"/>
      <c r="AD437" s="1700"/>
      <c r="AE437" s="1700"/>
      <c r="AF437" s="108"/>
      <c r="AG437" s="108"/>
      <c r="AH437" s="108"/>
      <c r="AI437" s="108"/>
      <c r="AJ437" s="108"/>
      <c r="AK437" s="108"/>
      <c r="AL437" s="784"/>
      <c r="AM437"/>
      <c r="AN437" s="281"/>
    </row>
    <row r="438" spans="1:60" s="4" customFormat="1" ht="12.75" customHeight="1">
      <c r="A438" s="5"/>
      <c r="B438" s="73"/>
      <c r="C438" s="723"/>
      <c r="D438" s="1"/>
      <c r="E438" s="225"/>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08"/>
      <c r="AG438" s="108"/>
      <c r="AH438" s="108"/>
      <c r="AI438" s="108"/>
      <c r="AJ438" s="108"/>
      <c r="AK438" s="108"/>
      <c r="AL438" s="784"/>
      <c r="AM438"/>
      <c r="AN438" s="281"/>
      <c r="AO438" s="38"/>
      <c r="AP438" s="21"/>
    </row>
    <row r="439" spans="1:60" s="4" customFormat="1" ht="12.75" customHeight="1">
      <c r="A439" s="5"/>
      <c r="B439" s="73"/>
      <c r="C439" s="723"/>
      <c r="D439" s="1"/>
      <c r="E439" s="225"/>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08"/>
      <c r="AG439" s="108"/>
      <c r="AH439" s="108"/>
      <c r="AI439" s="108"/>
      <c r="AJ439" s="108"/>
      <c r="AK439" s="108"/>
      <c r="AL439" s="784"/>
      <c r="AM439"/>
      <c r="AN439" s="281"/>
    </row>
    <row r="440" spans="1:60" s="4" customFormat="1" ht="12.75" customHeight="1">
      <c r="A440" s="5"/>
      <c r="B440" s="73"/>
      <c r="C440" s="723"/>
      <c r="D440" s="1"/>
      <c r="E440" s="225"/>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08"/>
      <c r="AG440" s="108"/>
      <c r="AH440" s="108"/>
      <c r="AI440" s="108"/>
      <c r="AJ440" s="108"/>
      <c r="AK440" s="108"/>
      <c r="AL440" s="784"/>
      <c r="AM440"/>
      <c r="AN440" s="281"/>
    </row>
    <row r="441" spans="1:60" s="4" customFormat="1" ht="12.75" customHeight="1">
      <c r="A441" s="5"/>
      <c r="B441" s="73"/>
      <c r="C441" s="723"/>
      <c r="D441" s="1"/>
      <c r="E441" s="225"/>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08"/>
      <c r="AG441" s="108"/>
      <c r="AH441" s="108"/>
      <c r="AI441" s="108"/>
      <c r="AJ441" s="108"/>
      <c r="AK441" s="108"/>
      <c r="AL441" s="784"/>
      <c r="AM441"/>
      <c r="AN441" s="281"/>
    </row>
    <row r="442" spans="1:60" s="4" customFormat="1" ht="12.75" customHeight="1">
      <c r="A442" s="5"/>
      <c r="B442" s="73"/>
      <c r="C442" s="723"/>
      <c r="D442" s="1"/>
      <c r="E442" s="225"/>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08"/>
      <c r="AG442" s="108"/>
      <c r="AH442" s="108"/>
      <c r="AI442" s="108"/>
      <c r="AJ442" s="108"/>
      <c r="AK442" s="108"/>
      <c r="AL442" s="784"/>
      <c r="AM442"/>
      <c r="AN442" s="281"/>
    </row>
    <row r="443" spans="1:60" s="4" customFormat="1" ht="17.25" customHeight="1">
      <c r="A443" s="5"/>
      <c r="B443" s="73"/>
      <c r="C443" s="723"/>
      <c r="D443" s="1"/>
      <c r="E443" s="225"/>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L443" s="705"/>
      <c r="AM443"/>
      <c r="AN443" s="281"/>
    </row>
    <row r="444" spans="1:60" s="4" customFormat="1" ht="12.75" customHeight="1">
      <c r="A444" s="5"/>
      <c r="B444" s="21"/>
      <c r="C444" s="1712" t="s">
        <v>124</v>
      </c>
      <c r="D444" s="1175"/>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36" t="s">
        <v>319</v>
      </c>
      <c r="AG444" s="1736"/>
      <c r="AH444" s="1736"/>
      <c r="AI444" s="1736"/>
      <c r="AJ444" s="1736"/>
      <c r="AK444" s="1736"/>
      <c r="AL444" s="174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7" t="s">
        <v>1794</v>
      </c>
      <c r="G447" s="1707"/>
      <c r="H447" s="1707"/>
      <c r="I447" s="1707"/>
      <c r="J447" s="1707"/>
      <c r="K447" s="1707"/>
      <c r="L447" s="1707"/>
      <c r="M447" s="1707"/>
      <c r="N447" s="1707"/>
      <c r="O447" s="1707"/>
      <c r="P447" s="1707"/>
      <c r="Q447" s="1707"/>
      <c r="R447" s="1707"/>
      <c r="S447" s="1707"/>
      <c r="T447" s="1707"/>
      <c r="U447" s="1707"/>
      <c r="V447" s="1707"/>
      <c r="W447" s="1707"/>
      <c r="X447" s="1707"/>
      <c r="Y447" s="1707"/>
      <c r="Z447" s="1707"/>
      <c r="AA447" s="1707"/>
      <c r="AB447" s="1707"/>
      <c r="AC447" s="1707"/>
      <c r="AD447" s="1707"/>
      <c r="AE447" s="1707"/>
      <c r="AF447" s="697"/>
      <c r="AG447" s="697"/>
      <c r="AH447" s="697"/>
      <c r="AI447" s="697"/>
      <c r="AJ447" s="697"/>
      <c r="AK447" s="697"/>
      <c r="AL447" s="721"/>
      <c r="AM447"/>
      <c r="AN447" s="281"/>
    </row>
    <row r="448" spans="1:60" s="4" customFormat="1" ht="12.75" customHeight="1">
      <c r="A448" s="5"/>
      <c r="B448" s="73"/>
      <c r="C448" s="723"/>
      <c r="D448" s="1"/>
      <c r="E448" s="225"/>
      <c r="F448" s="1700"/>
      <c r="G448" s="1700"/>
      <c r="H448" s="1700"/>
      <c r="I448" s="1700"/>
      <c r="J448" s="1700"/>
      <c r="K448" s="1700"/>
      <c r="L448" s="1700"/>
      <c r="M448" s="1700"/>
      <c r="N448" s="1700"/>
      <c r="O448" s="1700"/>
      <c r="P448" s="1700"/>
      <c r="Q448" s="1700"/>
      <c r="R448" s="1700"/>
      <c r="S448" s="1700"/>
      <c r="T448" s="1700"/>
      <c r="U448" s="1700"/>
      <c r="V448" s="1700"/>
      <c r="W448" s="1700"/>
      <c r="X448" s="1700"/>
      <c r="Y448" s="1700"/>
      <c r="Z448" s="1700"/>
      <c r="AA448" s="1700"/>
      <c r="AB448" s="1700"/>
      <c r="AC448" s="1700"/>
      <c r="AD448" s="1700"/>
      <c r="AE448" s="1700"/>
      <c r="AF448" s="18"/>
      <c r="AG448" s="18"/>
      <c r="AH448" s="18"/>
      <c r="AI448" s="18"/>
      <c r="AJ448" s="18"/>
      <c r="AK448" s="18"/>
      <c r="AL448" s="781"/>
      <c r="AM448"/>
      <c r="AN448" s="281"/>
    </row>
    <row r="449" spans="1:49" s="4" customFormat="1" ht="12.75" customHeight="1">
      <c r="A449" s="5"/>
      <c r="B449" s="73"/>
      <c r="C449" s="723"/>
      <c r="D449" s="1"/>
      <c r="E449" s="225"/>
      <c r="F449" s="1700"/>
      <c r="G449" s="1700"/>
      <c r="H449" s="1700"/>
      <c r="I449" s="1700"/>
      <c r="J449" s="1700"/>
      <c r="K449" s="1700"/>
      <c r="L449" s="1700"/>
      <c r="M449" s="1700"/>
      <c r="N449" s="1700"/>
      <c r="O449" s="1700"/>
      <c r="P449" s="1700"/>
      <c r="Q449" s="1700"/>
      <c r="R449" s="1700"/>
      <c r="S449" s="1700"/>
      <c r="T449" s="1700"/>
      <c r="U449" s="1700"/>
      <c r="V449" s="1700"/>
      <c r="W449" s="1700"/>
      <c r="X449" s="1700"/>
      <c r="Y449" s="1700"/>
      <c r="Z449" s="1700"/>
      <c r="AA449" s="1700"/>
      <c r="AB449" s="1700"/>
      <c r="AC449" s="1700"/>
      <c r="AD449" s="1700"/>
      <c r="AE449" s="1700"/>
      <c r="AF449" s="18"/>
      <c r="AG449" s="18"/>
      <c r="AH449" s="18"/>
      <c r="AI449" s="18"/>
      <c r="AJ449" s="18"/>
      <c r="AK449" s="18"/>
      <c r="AL449" s="781"/>
      <c r="AM449"/>
      <c r="AN449" s="281"/>
    </row>
    <row r="450" spans="1:49" s="4" customFormat="1" ht="12.75" customHeight="1">
      <c r="A450" s="5"/>
      <c r="B450" s="73"/>
      <c r="C450" s="723"/>
      <c r="D450" s="1"/>
      <c r="E450" s="225"/>
      <c r="F450" s="1700"/>
      <c r="G450" s="1700"/>
      <c r="H450" s="1700"/>
      <c r="I450" s="1700"/>
      <c r="J450" s="1700"/>
      <c r="K450" s="1700"/>
      <c r="L450" s="1700"/>
      <c r="M450" s="1700"/>
      <c r="N450" s="1700"/>
      <c r="O450" s="1700"/>
      <c r="P450" s="1700"/>
      <c r="Q450" s="1700"/>
      <c r="R450" s="1700"/>
      <c r="S450" s="1700"/>
      <c r="T450" s="1700"/>
      <c r="U450" s="1700"/>
      <c r="V450" s="1700"/>
      <c r="W450" s="1700"/>
      <c r="X450" s="1700"/>
      <c r="Y450" s="1700"/>
      <c r="Z450" s="1700"/>
      <c r="AA450" s="1700"/>
      <c r="AB450" s="1700"/>
      <c r="AC450" s="1700"/>
      <c r="AD450" s="1700"/>
      <c r="AE450" s="1700"/>
      <c r="AL450" s="705"/>
      <c r="AM450"/>
      <c r="AN450" s="281"/>
    </row>
    <row r="451" spans="1:49" s="4" customFormat="1" ht="12.75" customHeight="1">
      <c r="A451" s="5"/>
      <c r="B451" s="73"/>
      <c r="C451" s="1712" t="s">
        <v>124</v>
      </c>
      <c r="D451" s="1175"/>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36" t="s">
        <v>319</v>
      </c>
      <c r="AG451" s="1736"/>
      <c r="AH451" s="1736"/>
      <c r="AI451" s="1736"/>
      <c r="AJ451" s="1736"/>
      <c r="AK451" s="1736"/>
      <c r="AL451" s="174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95" t="s">
        <v>124</v>
      </c>
      <c r="D455" s="1896"/>
      <c r="E455" s="698" t="s">
        <v>967</v>
      </c>
      <c r="F455" s="1707" t="s">
        <v>969</v>
      </c>
      <c r="G455" s="1707"/>
      <c r="H455" s="1707"/>
      <c r="I455" s="1707"/>
      <c r="J455" s="1707"/>
      <c r="K455" s="1707"/>
      <c r="L455" s="1707"/>
      <c r="M455" s="1707"/>
      <c r="N455" s="1707"/>
      <c r="O455" s="1707"/>
      <c r="P455" s="1707"/>
      <c r="Q455" s="1707"/>
      <c r="R455" s="1707"/>
      <c r="S455" s="1707"/>
      <c r="T455" s="1707"/>
      <c r="U455" s="1707"/>
      <c r="V455" s="1707"/>
      <c r="W455" s="1707"/>
      <c r="X455" s="1707"/>
      <c r="Y455" s="1707"/>
      <c r="Z455" s="1707"/>
      <c r="AA455" s="1707"/>
      <c r="AB455" s="1707"/>
      <c r="AC455" s="1707"/>
      <c r="AD455" s="1707"/>
      <c r="AE455" s="1707"/>
      <c r="AF455" s="1746" t="s">
        <v>319</v>
      </c>
      <c r="AG455" s="1746"/>
      <c r="AH455" s="1746"/>
      <c r="AI455" s="1746"/>
      <c r="AJ455" s="1746"/>
      <c r="AK455" s="1746"/>
      <c r="AL455" s="1747"/>
      <c r="AM455"/>
      <c r="AN455" s="674"/>
      <c r="AQ455" s="166"/>
    </row>
    <row r="456" spans="1:49" s="4" customFormat="1" ht="12.75" customHeight="1">
      <c r="A456" s="5"/>
      <c r="B456" s="73"/>
      <c r="C456" s="723"/>
      <c r="D456" s="1"/>
      <c r="E456" s="225"/>
      <c r="F456" s="1700"/>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895" t="s">
        <v>124</v>
      </c>
      <c r="D459" s="1896"/>
      <c r="E459" s="698" t="s">
        <v>968</v>
      </c>
      <c r="F459" s="1707" t="s">
        <v>1831</v>
      </c>
      <c r="G459" s="1707"/>
      <c r="H459" s="1707"/>
      <c r="I459" s="1707"/>
      <c r="J459" s="1707"/>
      <c r="K459" s="1707"/>
      <c r="L459" s="1707"/>
      <c r="M459" s="1707"/>
      <c r="N459" s="1707"/>
      <c r="O459" s="1707"/>
      <c r="P459" s="1707"/>
      <c r="Q459" s="1707"/>
      <c r="R459" s="1707"/>
      <c r="S459" s="1707"/>
      <c r="T459" s="1707"/>
      <c r="U459" s="1707"/>
      <c r="V459" s="1707"/>
      <c r="W459" s="1707"/>
      <c r="X459" s="1707"/>
      <c r="Y459" s="1707"/>
      <c r="Z459" s="1707"/>
      <c r="AA459" s="1707"/>
      <c r="AB459" s="1707"/>
      <c r="AC459" s="1707"/>
      <c r="AD459" s="1707"/>
      <c r="AE459" s="1707"/>
      <c r="AF459" s="1746" t="s">
        <v>319</v>
      </c>
      <c r="AG459" s="1746"/>
      <c r="AH459" s="1746"/>
      <c r="AI459" s="1746"/>
      <c r="AJ459" s="1746"/>
      <c r="AK459" s="1746"/>
      <c r="AL459" s="1747"/>
      <c r="AM459"/>
      <c r="AN459" s="670"/>
      <c r="AO459" s="4" t="s">
        <v>1335</v>
      </c>
      <c r="AP459" s="4">
        <v>5</v>
      </c>
      <c r="AQ459" s="5"/>
    </row>
    <row r="460" spans="1:49" s="4" customFormat="1" ht="12.75" customHeight="1">
      <c r="A460" s="5"/>
      <c r="B460" s="21"/>
      <c r="C460" s="704"/>
      <c r="D460" s="21"/>
      <c r="E460" s="194"/>
      <c r="F460" s="1700"/>
      <c r="G460" s="1700"/>
      <c r="H460" s="1700"/>
      <c r="I460" s="1700"/>
      <c r="J460" s="1700"/>
      <c r="K460" s="1700"/>
      <c r="L460" s="1700"/>
      <c r="M460" s="1700"/>
      <c r="N460" s="1700"/>
      <c r="O460" s="1700"/>
      <c r="P460" s="1700"/>
      <c r="Q460" s="1700"/>
      <c r="R460" s="1700"/>
      <c r="S460" s="1700"/>
      <c r="T460" s="1700"/>
      <c r="U460" s="1700"/>
      <c r="V460" s="1700"/>
      <c r="W460" s="1700"/>
      <c r="X460" s="1700"/>
      <c r="Y460" s="1700"/>
      <c r="Z460" s="1700"/>
      <c r="AA460" s="1700"/>
      <c r="AB460" s="1700"/>
      <c r="AC460" s="1700"/>
      <c r="AD460" s="1700"/>
      <c r="AE460" s="1700"/>
      <c r="AF460" s="3"/>
      <c r="AG460" s="5"/>
      <c r="AL460" s="705"/>
      <c r="AM460"/>
      <c r="AN460" s="670"/>
      <c r="AO460" s="4" t="s">
        <v>1331</v>
      </c>
      <c r="AP460" s="4">
        <v>5</v>
      </c>
    </row>
    <row r="461" spans="1:49" s="4" customFormat="1" ht="12.75" customHeight="1">
      <c r="A461" s="5"/>
      <c r="B461" s="21"/>
      <c r="C461" s="704"/>
      <c r="D461" s="21"/>
      <c r="E461" s="194"/>
      <c r="F461" s="1700"/>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3"/>
      <c r="AG461" s="5"/>
      <c r="AL461" s="705"/>
      <c r="AM461"/>
      <c r="AN461" s="670"/>
      <c r="AO461" s="4" t="s">
        <v>1332</v>
      </c>
      <c r="AP461" s="4">
        <v>5</v>
      </c>
    </row>
    <row r="462" spans="1:49" s="4" customFormat="1" ht="4.5" customHeight="1">
      <c r="A462" s="5"/>
      <c r="B462" s="73"/>
      <c r="C462" s="700"/>
      <c r="D462" s="701"/>
      <c r="E462" s="702"/>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7" t="s">
        <v>1832</v>
      </c>
      <c r="G464" s="1707"/>
      <c r="H464" s="1707"/>
      <c r="I464" s="1707"/>
      <c r="J464" s="1707"/>
      <c r="K464" s="1707"/>
      <c r="L464" s="1707"/>
      <c r="M464" s="1707"/>
      <c r="N464" s="1707"/>
      <c r="O464" s="1707"/>
      <c r="P464" s="1707"/>
      <c r="Q464" s="1707"/>
      <c r="R464" s="1707"/>
      <c r="S464" s="1707"/>
      <c r="T464" s="1707"/>
      <c r="U464" s="1707"/>
      <c r="V464" s="1707"/>
      <c r="W464" s="1707"/>
      <c r="X464" s="1707"/>
      <c r="Y464" s="1707"/>
      <c r="Z464" s="1707"/>
      <c r="AA464" s="1707"/>
      <c r="AB464" s="1707"/>
      <c r="AC464" s="1707"/>
      <c r="AD464" s="1707"/>
      <c r="AE464" s="1707"/>
      <c r="AF464" s="1707"/>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700"/>
      <c r="G465" s="1700"/>
      <c r="H465" s="1700"/>
      <c r="I465" s="1700"/>
      <c r="J465" s="1700"/>
      <c r="K465" s="1700"/>
      <c r="L465" s="1700"/>
      <c r="M465" s="1700"/>
      <c r="N465" s="1700"/>
      <c r="O465" s="1700"/>
      <c r="P465" s="1700"/>
      <c r="Q465" s="1700"/>
      <c r="R465" s="1700"/>
      <c r="S465" s="1700"/>
      <c r="T465" s="1700"/>
      <c r="U465" s="1700"/>
      <c r="V465" s="1700"/>
      <c r="W465" s="1700"/>
      <c r="X465" s="1700"/>
      <c r="Y465" s="1700"/>
      <c r="Z465" s="1700"/>
      <c r="AA465" s="1700"/>
      <c r="AB465" s="1700"/>
      <c r="AC465" s="1700"/>
      <c r="AD465" s="1700"/>
      <c r="AE465" s="1700"/>
      <c r="AF465" s="1700"/>
      <c r="AL465" s="705"/>
      <c r="AM465"/>
      <c r="AN465" s="281"/>
      <c r="AS465" s="345"/>
      <c r="AW465" s="345" t="s">
        <v>975</v>
      </c>
      <c r="BA465" s="345" t="s">
        <v>976</v>
      </c>
    </row>
    <row r="466" spans="1:54" s="4" customFormat="1" ht="12.75" customHeight="1">
      <c r="A466" s="5"/>
      <c r="B466" s="21"/>
      <c r="C466" s="707"/>
      <c r="F466" s="1700"/>
      <c r="G466" s="1700"/>
      <c r="H466" s="1700"/>
      <c r="I466" s="1700"/>
      <c r="J466" s="1700"/>
      <c r="K466" s="1700"/>
      <c r="L466" s="1700"/>
      <c r="M466" s="1700"/>
      <c r="N466" s="1700"/>
      <c r="O466" s="1700"/>
      <c r="P466" s="1700"/>
      <c r="Q466" s="1700"/>
      <c r="R466" s="1700"/>
      <c r="S466" s="1700"/>
      <c r="T466" s="1700"/>
      <c r="U466" s="1700"/>
      <c r="V466" s="1700"/>
      <c r="W466" s="1700"/>
      <c r="X466" s="1700"/>
      <c r="Y466" s="1700"/>
      <c r="Z466" s="1700"/>
      <c r="AA466" s="1700"/>
      <c r="AB466" s="1700"/>
      <c r="AC466" s="1700"/>
      <c r="AD466" s="1700"/>
      <c r="AE466" s="1700"/>
      <c r="AF466" s="170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700"/>
      <c r="G467" s="1700"/>
      <c r="H467" s="1700"/>
      <c r="I467" s="1700"/>
      <c r="J467" s="1700"/>
      <c r="K467" s="1700"/>
      <c r="L467" s="1700"/>
      <c r="M467" s="1700"/>
      <c r="N467" s="1700"/>
      <c r="O467" s="1700"/>
      <c r="P467" s="1700"/>
      <c r="Q467" s="1700"/>
      <c r="R467" s="1700"/>
      <c r="S467" s="1700"/>
      <c r="T467" s="1700"/>
      <c r="U467" s="1700"/>
      <c r="V467" s="1700"/>
      <c r="W467" s="1700"/>
      <c r="X467" s="1700"/>
      <c r="Y467" s="1700"/>
      <c r="Z467" s="1700"/>
      <c r="AA467" s="1700"/>
      <c r="AB467" s="1700"/>
      <c r="AC467" s="1700"/>
      <c r="AD467" s="1700"/>
      <c r="AE467" s="1700"/>
      <c r="AF467" s="1700"/>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712" t="s">
        <v>124</v>
      </c>
      <c r="D468" s="1175"/>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245" t="s">
        <v>319</v>
      </c>
      <c r="AG468" s="1245"/>
      <c r="AH468" s="1245"/>
      <c r="AI468" s="1245"/>
      <c r="AJ468" s="1245"/>
      <c r="AK468" s="1245"/>
      <c r="AL468" s="170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312">
        <f>IF(AS357=0,AS355,AS357)</f>
        <v>10</v>
      </c>
      <c r="AL474" s="1313"/>
      <c r="AM474" s="131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245" t="s">
        <v>1257</v>
      </c>
      <c r="AF477" s="1245"/>
      <c r="AG477" s="1245"/>
      <c r="AH477" s="1245"/>
      <c r="AI477" s="1245"/>
      <c r="AJ477" s="1245"/>
      <c r="AK477" s="1245"/>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10" t="s">
        <v>124</v>
      </c>
      <c r="D483" s="1711"/>
      <c r="E483" s="749" t="s">
        <v>195</v>
      </c>
      <c r="F483" s="1744" t="s">
        <v>972</v>
      </c>
      <c r="G483" s="1744"/>
      <c r="H483" s="1744"/>
      <c r="I483" s="1744"/>
      <c r="J483" s="1744"/>
      <c r="K483" s="1744"/>
      <c r="L483" s="1744"/>
      <c r="M483" s="1744"/>
      <c r="N483" s="1744"/>
      <c r="O483" s="1744"/>
      <c r="P483" s="1744"/>
      <c r="Q483" s="1744"/>
      <c r="R483" s="1744"/>
      <c r="S483" s="1744"/>
      <c r="T483" s="1744"/>
      <c r="U483" s="1744"/>
      <c r="V483" s="1744"/>
      <c r="W483" s="1744"/>
      <c r="X483" s="1744"/>
      <c r="Y483" s="1744"/>
      <c r="Z483" s="1744"/>
      <c r="AA483" s="1744"/>
      <c r="AB483" s="1744"/>
      <c r="AC483" s="1744"/>
      <c r="AD483" s="1744"/>
      <c r="AE483" s="1744"/>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45"/>
      <c r="G484" s="1745"/>
      <c r="H484" s="1745"/>
      <c r="I484" s="1745"/>
      <c r="J484" s="1745"/>
      <c r="K484" s="1745"/>
      <c r="L484" s="1745"/>
      <c r="M484" s="1745"/>
      <c r="N484" s="1745"/>
      <c r="O484" s="1745"/>
      <c r="P484" s="1745"/>
      <c r="Q484" s="1745"/>
      <c r="R484" s="1745"/>
      <c r="S484" s="1745"/>
      <c r="T484" s="1745"/>
      <c r="U484" s="1745"/>
      <c r="V484" s="1745"/>
      <c r="W484" s="1745"/>
      <c r="X484" s="1745"/>
      <c r="Y484" s="1745"/>
      <c r="Z484" s="1745"/>
      <c r="AA484" s="1745"/>
      <c r="AB484" s="1745"/>
      <c r="AC484" s="1745"/>
      <c r="AD484" s="1745"/>
      <c r="AE484" s="1745"/>
      <c r="AG484" s="19"/>
      <c r="AH484" s="19"/>
      <c r="AI484" s="19"/>
      <c r="AJ484" s="19"/>
      <c r="AK484" s="705"/>
      <c r="AN484" s="281"/>
      <c r="AO484" s="4" t="s">
        <v>1334</v>
      </c>
      <c r="AP484" s="4">
        <v>1</v>
      </c>
    </row>
    <row r="485" spans="1:50" s="4" customFormat="1" ht="12.75" hidden="1" customHeight="1">
      <c r="C485" s="727"/>
      <c r="D485" s="714"/>
      <c r="E485" s="728"/>
      <c r="F485" s="1673" t="s">
        <v>124</v>
      </c>
      <c r="G485" s="1673"/>
      <c r="H485" s="1673"/>
      <c r="I485" s="1673"/>
      <c r="J485" s="1673"/>
      <c r="K485" s="1673"/>
      <c r="L485" s="1673"/>
      <c r="M485" s="1673"/>
      <c r="N485" s="1673"/>
      <c r="O485" s="1673"/>
      <c r="P485" s="1673"/>
      <c r="Q485" s="1673"/>
      <c r="R485" s="1673"/>
      <c r="S485" s="1673"/>
      <c r="T485" s="1673"/>
      <c r="U485" s="1673"/>
      <c r="V485" s="1673"/>
      <c r="W485" s="1673"/>
      <c r="X485" s="1673"/>
      <c r="Y485" s="1673"/>
      <c r="Z485" s="1673"/>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95" t="s">
        <v>108</v>
      </c>
      <c r="D487" s="189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704" t="s">
        <v>124</v>
      </c>
      <c r="W490" s="1704"/>
      <c r="X490" s="170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704" t="s">
        <v>124</v>
      </c>
      <c r="W492" s="1704"/>
      <c r="X492" s="170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704" t="s">
        <v>124</v>
      </c>
      <c r="W497" s="1704"/>
      <c r="X497" s="170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96"/>
      <c r="E500" s="139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704" t="s">
        <v>124</v>
      </c>
      <c r="W501" s="1704"/>
      <c r="X501" s="170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704" t="s">
        <v>124</v>
      </c>
      <c r="W503" s="1704"/>
      <c r="X503" s="170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31" t="s">
        <v>657</v>
      </c>
      <c r="AV504" s="1732"/>
      <c r="AW504" s="1732"/>
      <c r="AX504" s="1732"/>
      <c r="AY504" s="1732"/>
      <c r="AZ504" s="1732"/>
      <c r="BA504" s="1732"/>
      <c r="BB504" s="20"/>
      <c r="BC504" s="20"/>
      <c r="BE504" s="4"/>
      <c r="BF504" s="4"/>
      <c r="BG504" s="4"/>
      <c r="BH504" s="4"/>
      <c r="BI504" s="4"/>
      <c r="BJ504" s="1729" t="s">
        <v>30</v>
      </c>
      <c r="BK504" s="1730"/>
      <c r="BL504" s="1730"/>
      <c r="BM504" s="1730"/>
      <c r="BN504" s="1730"/>
      <c r="BO504" s="1730"/>
      <c r="BP504" s="173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31"/>
      <c r="AV505" s="1732"/>
      <c r="AW505" s="1732"/>
      <c r="AX505" s="1732"/>
      <c r="AY505" s="1732"/>
      <c r="AZ505" s="1732"/>
      <c r="BA505" s="1732"/>
      <c r="BB505" s="20"/>
      <c r="BC505" s="20"/>
      <c r="BE505" s="4"/>
      <c r="BF505" s="4"/>
      <c r="BG505" s="4"/>
      <c r="BH505" s="4"/>
      <c r="BI505" s="4"/>
      <c r="BJ505" s="1729"/>
      <c r="BK505" s="1730"/>
      <c r="BL505" s="1730"/>
      <c r="BM505" s="1730"/>
      <c r="BN505" s="1730"/>
      <c r="BO505" s="1730"/>
      <c r="BP505" s="1730"/>
      <c r="BQ505" s="20"/>
      <c r="BR505" s="4"/>
    </row>
    <row r="506" spans="1:147" customFormat="1" ht="12.75" hidden="1" customHeight="1">
      <c r="A506" s="120"/>
      <c r="B506" s="4"/>
      <c r="C506" s="1710" t="s">
        <v>124</v>
      </c>
      <c r="D506" s="1711"/>
      <c r="E506" s="742" t="s">
        <v>195</v>
      </c>
      <c r="F506" s="1744" t="s">
        <v>972</v>
      </c>
      <c r="G506" s="1744"/>
      <c r="H506" s="1744"/>
      <c r="I506" s="1744"/>
      <c r="J506" s="1744"/>
      <c r="K506" s="1744"/>
      <c r="L506" s="1744"/>
      <c r="M506" s="1744"/>
      <c r="N506" s="1744"/>
      <c r="O506" s="1744"/>
      <c r="P506" s="1744"/>
      <c r="Q506" s="1744"/>
      <c r="R506" s="1744"/>
      <c r="S506" s="1744"/>
      <c r="T506" s="1744"/>
      <c r="U506" s="1744"/>
      <c r="V506" s="1744"/>
      <c r="W506" s="1744"/>
      <c r="X506" s="1744"/>
      <c r="Y506" s="1744"/>
      <c r="Z506" s="1744"/>
      <c r="AA506" s="1744"/>
      <c r="AB506" s="1744"/>
      <c r="AC506" s="1744"/>
      <c r="AD506" s="1744"/>
      <c r="AE506" s="174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45"/>
      <c r="G507" s="1745"/>
      <c r="H507" s="1745"/>
      <c r="I507" s="1745"/>
      <c r="J507" s="1745"/>
      <c r="K507" s="1745"/>
      <c r="L507" s="1745"/>
      <c r="M507" s="1745"/>
      <c r="N507" s="1745"/>
      <c r="O507" s="1745"/>
      <c r="P507" s="1745"/>
      <c r="Q507" s="1745"/>
      <c r="R507" s="1745"/>
      <c r="S507" s="1745"/>
      <c r="T507" s="1745"/>
      <c r="U507" s="1745"/>
      <c r="V507" s="1745"/>
      <c r="W507" s="1745"/>
      <c r="X507" s="1745"/>
      <c r="Y507" s="1745"/>
      <c r="Z507" s="1745"/>
      <c r="AA507" s="1745"/>
      <c r="AB507" s="1745"/>
      <c r="AC507" s="1745"/>
      <c r="AD507" s="1745"/>
      <c r="AE507" s="1745"/>
      <c r="AF507" s="4"/>
      <c r="AG507" s="19"/>
      <c r="AH507" s="19"/>
      <c r="AI507" s="19"/>
      <c r="AJ507" s="19"/>
      <c r="AK507" s="705"/>
      <c r="AL507" s="4"/>
      <c r="AM507" s="4"/>
      <c r="AN507" s="669"/>
      <c r="AO507" s="38"/>
      <c r="AP507" s="1530" t="s">
        <v>1498</v>
      </c>
      <c r="AQ507" s="1531"/>
      <c r="AR507" s="1532"/>
      <c r="AS507" s="624">
        <v>80</v>
      </c>
      <c r="AT507" s="4">
        <v>0</v>
      </c>
      <c r="AU507" s="160">
        <v>10</v>
      </c>
      <c r="AV507" s="160">
        <v>25</v>
      </c>
      <c r="AW507" s="160">
        <v>37.5</v>
      </c>
      <c r="AX507" s="160">
        <v>35</v>
      </c>
      <c r="AY507" s="160">
        <v>37.5</v>
      </c>
      <c r="AZ507" s="160">
        <v>50</v>
      </c>
      <c r="BA507" s="160">
        <v>50</v>
      </c>
      <c r="BB507" s="21"/>
      <c r="BC507" s="21"/>
      <c r="BE507" s="1530" t="s">
        <v>1498</v>
      </c>
      <c r="BF507" s="1531"/>
      <c r="BG507" s="153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907" t="s">
        <v>124</v>
      </c>
      <c r="G508" s="1907"/>
      <c r="H508" s="1907"/>
      <c r="I508" s="1907"/>
      <c r="J508" s="1907"/>
      <c r="K508" s="1907"/>
      <c r="L508" s="1907"/>
      <c r="M508" s="1907"/>
      <c r="N508" s="1907"/>
      <c r="O508" s="1907"/>
      <c r="P508" s="1907"/>
      <c r="Q508" s="1907"/>
      <c r="R508" s="1907"/>
      <c r="S508" s="1907"/>
      <c r="T508" s="1907"/>
      <c r="U508" s="1907"/>
      <c r="V508" s="1907"/>
      <c r="W508" s="1907"/>
      <c r="X508" s="1907"/>
      <c r="Y508" s="1907"/>
      <c r="Z508" s="1907"/>
      <c r="AA508" s="729"/>
      <c r="AB508" s="730"/>
      <c r="AC508" s="730"/>
      <c r="AD508" s="714"/>
      <c r="AE508" s="714"/>
      <c r="AF508" s="714"/>
      <c r="AG508" s="731">
        <f>IF($C$506="Yes",(VLOOKUP($F$508,$AO$476:$AP$484,2,FALSE)),0)</f>
        <v>0</v>
      </c>
      <c r="AH508" s="732" t="s">
        <v>974</v>
      </c>
      <c r="AI508" s="731"/>
      <c r="AJ508" s="730"/>
      <c r="AK508" s="715"/>
      <c r="AL508" s="4"/>
      <c r="AM508" s="4"/>
      <c r="AN508" s="669"/>
      <c r="AO508" s="38"/>
      <c r="AP508" s="1533"/>
      <c r="AQ508" s="1534"/>
      <c r="AR508" s="1535"/>
      <c r="AS508" s="624">
        <v>75</v>
      </c>
      <c r="AT508" s="4">
        <v>0</v>
      </c>
      <c r="AU508" s="160">
        <v>10</v>
      </c>
      <c r="AV508" s="160">
        <v>25</v>
      </c>
      <c r="AW508" s="160">
        <v>37.5</v>
      </c>
      <c r="AX508" s="160">
        <v>35</v>
      </c>
      <c r="AY508" s="160">
        <v>37.5</v>
      </c>
      <c r="AZ508" s="160">
        <v>50</v>
      </c>
      <c r="BA508" s="160">
        <v>50</v>
      </c>
      <c r="BB508" s="21"/>
      <c r="BC508" s="21"/>
      <c r="BE508" s="1533"/>
      <c r="BF508" s="1534"/>
      <c r="BG508" s="153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33"/>
      <c r="AQ509" s="1534"/>
      <c r="AR509" s="1535"/>
      <c r="AS509" s="624">
        <v>70</v>
      </c>
      <c r="AT509" s="4">
        <v>0</v>
      </c>
      <c r="AU509" s="160">
        <v>10</v>
      </c>
      <c r="AV509" s="160">
        <v>25</v>
      </c>
      <c r="AW509" s="160">
        <v>37.5</v>
      </c>
      <c r="AX509" s="160">
        <v>35</v>
      </c>
      <c r="AY509" s="160">
        <v>37.5</v>
      </c>
      <c r="AZ509" s="160">
        <v>50</v>
      </c>
      <c r="BA509" s="160">
        <v>50</v>
      </c>
      <c r="BB509" s="21"/>
      <c r="BC509" s="21"/>
      <c r="BE509" s="1533"/>
      <c r="BF509" s="1534"/>
      <c r="BG509" s="153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0" t="s">
        <v>124</v>
      </c>
      <c r="D510" s="1711"/>
      <c r="E510" s="742" t="s">
        <v>302</v>
      </c>
      <c r="F510" s="1897" t="s">
        <v>1158</v>
      </c>
      <c r="G510" s="1897"/>
      <c r="H510" s="1897"/>
      <c r="I510" s="1897"/>
      <c r="J510" s="1897"/>
      <c r="K510" s="1897"/>
      <c r="L510" s="1897"/>
      <c r="M510" s="1897"/>
      <c r="N510" s="1897"/>
      <c r="O510" s="1897"/>
      <c r="P510" s="1897"/>
      <c r="Q510" s="1897"/>
      <c r="R510" s="1897"/>
      <c r="S510" s="1897"/>
      <c r="T510" s="1897"/>
      <c r="U510" s="1897"/>
      <c r="V510" s="1897"/>
      <c r="W510" s="1897"/>
      <c r="X510" s="1897"/>
      <c r="Y510" s="1897"/>
      <c r="Z510" s="1897"/>
      <c r="AA510" s="1897"/>
      <c r="AB510" s="1897"/>
      <c r="AC510" s="1897"/>
      <c r="AD510" s="1897"/>
      <c r="AE510" s="1897"/>
      <c r="AF510" s="697"/>
      <c r="AG510" s="734"/>
      <c r="AH510" s="734"/>
      <c r="AI510" s="734"/>
      <c r="AJ510" s="734"/>
      <c r="AK510" s="721"/>
      <c r="AL510" s="4"/>
      <c r="AM510" s="4"/>
      <c r="AN510" s="669"/>
      <c r="AO510" s="38"/>
      <c r="AP510" s="1533"/>
      <c r="AQ510" s="1534"/>
      <c r="AR510" s="1535"/>
      <c r="AS510" s="624">
        <v>65</v>
      </c>
      <c r="AT510" s="4">
        <v>0</v>
      </c>
      <c r="AU510" s="160">
        <v>10</v>
      </c>
      <c r="AV510" s="160">
        <v>25</v>
      </c>
      <c r="AW510" s="160">
        <v>37.5</v>
      </c>
      <c r="AX510" s="160">
        <v>35</v>
      </c>
      <c r="AY510" s="160">
        <v>37.5</v>
      </c>
      <c r="AZ510" s="160">
        <v>50</v>
      </c>
      <c r="BA510" s="160">
        <v>50</v>
      </c>
      <c r="BB510" s="21"/>
      <c r="BC510" s="21"/>
      <c r="BE510" s="1533"/>
      <c r="BF510" s="1534"/>
      <c r="BG510" s="153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98"/>
      <c r="G511" s="1898"/>
      <c r="H511" s="1898"/>
      <c r="I511" s="1898"/>
      <c r="J511" s="1898"/>
      <c r="K511" s="1898"/>
      <c r="L511" s="1898"/>
      <c r="M511" s="1898"/>
      <c r="N511" s="1898"/>
      <c r="O511" s="1898"/>
      <c r="P511" s="1898"/>
      <c r="Q511" s="1898"/>
      <c r="R511" s="1898"/>
      <c r="S511" s="1898"/>
      <c r="T511" s="1898"/>
      <c r="U511" s="1898"/>
      <c r="V511" s="1898"/>
      <c r="W511" s="1898"/>
      <c r="X511" s="1898"/>
      <c r="Y511" s="1898"/>
      <c r="Z511" s="1898"/>
      <c r="AA511" s="1898"/>
      <c r="AB511" s="1898"/>
      <c r="AC511" s="1898"/>
      <c r="AD511" s="1898"/>
      <c r="AE511" s="1898"/>
      <c r="AF511" s="4"/>
      <c r="AG511" s="19"/>
      <c r="AH511" s="19"/>
      <c r="AI511" s="19"/>
      <c r="AJ511" s="19"/>
      <c r="AK511" s="705"/>
      <c r="AL511" s="4"/>
      <c r="AM511" s="4"/>
      <c r="AN511" s="669"/>
      <c r="AO511" s="38"/>
      <c r="AP511" s="1533"/>
      <c r="AQ511" s="1534"/>
      <c r="AR511" s="1535"/>
      <c r="AS511" s="624">
        <v>60</v>
      </c>
      <c r="AT511" s="4">
        <v>0</v>
      </c>
      <c r="AU511" s="160">
        <v>10</v>
      </c>
      <c r="AV511" s="160">
        <v>25</v>
      </c>
      <c r="AW511" s="160">
        <v>37.5</v>
      </c>
      <c r="AX511" s="160">
        <v>35</v>
      </c>
      <c r="AY511" s="160">
        <v>37.5</v>
      </c>
      <c r="AZ511" s="160">
        <v>50</v>
      </c>
      <c r="BA511" s="160">
        <v>50</v>
      </c>
      <c r="BB511" s="21"/>
      <c r="BC511" s="21"/>
      <c r="BE511" s="1533"/>
      <c r="BF511" s="1534"/>
      <c r="BG511" s="153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33"/>
      <c r="AQ512" s="1534"/>
      <c r="AR512" s="1535"/>
      <c r="AS512" s="624">
        <v>55</v>
      </c>
      <c r="AT512" s="4">
        <v>0</v>
      </c>
      <c r="AU512" s="160">
        <v>10</v>
      </c>
      <c r="AV512" s="160">
        <v>25</v>
      </c>
      <c r="AW512" s="160">
        <v>37.5</v>
      </c>
      <c r="AX512" s="160">
        <v>35</v>
      </c>
      <c r="AY512" s="160">
        <v>37.5</v>
      </c>
      <c r="AZ512" s="160">
        <v>50</v>
      </c>
      <c r="BA512" s="160">
        <v>50</v>
      </c>
      <c r="BE512" s="1533"/>
      <c r="BF512" s="1534"/>
      <c r="BG512" s="153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908" t="s">
        <v>124</v>
      </c>
      <c r="G513" s="1908"/>
      <c r="H513" s="190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533"/>
      <c r="AQ513" s="1534"/>
      <c r="AR513" s="1535"/>
      <c r="AS513" s="159">
        <v>50</v>
      </c>
      <c r="AT513" s="4">
        <v>0</v>
      </c>
      <c r="AU513" s="160">
        <v>10</v>
      </c>
      <c r="AV513" s="160">
        <v>25</v>
      </c>
      <c r="AW513" s="160">
        <v>37.5</v>
      </c>
      <c r="AX513" s="160">
        <v>35</v>
      </c>
      <c r="AY513" s="160">
        <v>37.5</v>
      </c>
      <c r="AZ513" s="160">
        <v>50</v>
      </c>
      <c r="BA513" s="160">
        <v>50</v>
      </c>
      <c r="BE513" s="1533"/>
      <c r="BF513" s="1534"/>
      <c r="BG513" s="153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33"/>
      <c r="AQ514" s="1534"/>
      <c r="AR514" s="1535"/>
      <c r="AS514" s="159">
        <v>45</v>
      </c>
      <c r="AT514" s="4">
        <v>0</v>
      </c>
      <c r="AU514" s="160">
        <v>10</v>
      </c>
      <c r="AV514" s="160">
        <v>22.5</v>
      </c>
      <c r="AW514" s="160">
        <v>33.799999999999997</v>
      </c>
      <c r="AX514" s="160">
        <v>35</v>
      </c>
      <c r="AY514" s="160">
        <v>37.5</v>
      </c>
      <c r="AZ514" s="160">
        <v>50</v>
      </c>
      <c r="BA514" s="160">
        <v>50</v>
      </c>
      <c r="BE514" s="1533"/>
      <c r="BF514" s="1534"/>
      <c r="BG514" s="153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0" t="s">
        <v>124</v>
      </c>
      <c r="D515" s="1711"/>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33"/>
      <c r="AQ515" s="1534"/>
      <c r="AR515" s="1535"/>
      <c r="AS515" s="159">
        <v>40</v>
      </c>
      <c r="AT515" s="4">
        <v>0</v>
      </c>
      <c r="AU515" s="160">
        <v>10</v>
      </c>
      <c r="AV515" s="160">
        <v>20</v>
      </c>
      <c r="AW515" s="160">
        <v>30</v>
      </c>
      <c r="AX515" s="160">
        <v>35</v>
      </c>
      <c r="AY515" s="160">
        <v>37.5</v>
      </c>
      <c r="AZ515" s="160">
        <v>50</v>
      </c>
      <c r="BA515" s="160">
        <v>50</v>
      </c>
      <c r="BE515" s="1533"/>
      <c r="BF515" s="1534"/>
      <c r="BG515" s="153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33"/>
      <c r="AQ516" s="1534"/>
      <c r="AR516" s="1535"/>
      <c r="AS516" s="159">
        <v>35</v>
      </c>
      <c r="AT516" s="4">
        <v>0</v>
      </c>
      <c r="AU516" s="160">
        <v>8.8000000000000007</v>
      </c>
      <c r="AV516" s="160">
        <v>17.5</v>
      </c>
      <c r="AW516" s="160">
        <v>26.3</v>
      </c>
      <c r="AX516" s="160">
        <v>35</v>
      </c>
      <c r="AY516" s="160">
        <v>37.5</v>
      </c>
      <c r="AZ516" s="160">
        <v>50</v>
      </c>
      <c r="BA516" s="160">
        <v>50</v>
      </c>
      <c r="BE516" s="1533"/>
      <c r="BF516" s="1534"/>
      <c r="BG516" s="153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02"/>
      <c r="D517" s="139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533"/>
      <c r="AQ517" s="1534"/>
      <c r="AR517" s="1535"/>
      <c r="AS517" s="159">
        <v>30</v>
      </c>
      <c r="AT517" s="4">
        <v>0</v>
      </c>
      <c r="AU517" s="160">
        <v>7.5</v>
      </c>
      <c r="AV517" s="160">
        <v>15</v>
      </c>
      <c r="AW517" s="160">
        <v>22.5</v>
      </c>
      <c r="AX517" s="160">
        <v>30</v>
      </c>
      <c r="AY517" s="160">
        <v>37.5</v>
      </c>
      <c r="AZ517" s="160">
        <v>45</v>
      </c>
      <c r="BA517" s="160">
        <v>50</v>
      </c>
      <c r="BE517" s="1533"/>
      <c r="BF517" s="1534"/>
      <c r="BG517" s="153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714" t="s">
        <v>124</v>
      </c>
      <c r="H518" s="1714"/>
      <c r="I518" s="1714"/>
      <c r="J518" s="1714"/>
      <c r="K518" s="1714"/>
      <c r="L518" s="1714"/>
      <c r="M518" s="1714"/>
      <c r="N518" s="1714"/>
      <c r="O518" s="1714"/>
      <c r="P518" s="1714"/>
      <c r="Q518" s="1714"/>
      <c r="R518" s="1714"/>
      <c r="S518" s="1714"/>
      <c r="T518" s="1714"/>
      <c r="U518" s="1714"/>
      <c r="V518" s="1714"/>
      <c r="W518" s="1714"/>
      <c r="X518" s="1714"/>
      <c r="Y518" s="1714"/>
      <c r="Z518" s="1714"/>
      <c r="AA518" s="1714"/>
      <c r="AB518" s="1714"/>
      <c r="AC518" s="1714"/>
      <c r="AD518" s="1714"/>
      <c r="AE518" s="1714"/>
      <c r="AF518" s="1714"/>
      <c r="AG518" s="4"/>
      <c r="AH518" s="4"/>
      <c r="AI518" s="4"/>
      <c r="AJ518" s="19"/>
      <c r="AK518" s="705"/>
      <c r="AL518" s="4"/>
      <c r="AM518" s="4"/>
      <c r="AN518" s="669"/>
      <c r="AP518" s="1533"/>
      <c r="AQ518" s="1534"/>
      <c r="AR518" s="1535"/>
      <c r="AS518" s="159">
        <v>25</v>
      </c>
      <c r="AT518" s="4">
        <v>0</v>
      </c>
      <c r="AU518" s="160">
        <v>6.3</v>
      </c>
      <c r="AV518" s="160">
        <v>12.5</v>
      </c>
      <c r="AW518" s="160">
        <v>18.8</v>
      </c>
      <c r="AX518" s="160">
        <v>25</v>
      </c>
      <c r="AY518" s="160">
        <v>31.3</v>
      </c>
      <c r="AZ518" s="160">
        <v>37.5</v>
      </c>
      <c r="BA518" s="160">
        <v>50</v>
      </c>
      <c r="BE518" s="1533"/>
      <c r="BF518" s="1534"/>
      <c r="BG518" s="153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33"/>
      <c r="AQ519" s="1534"/>
      <c r="AR519" s="1535"/>
      <c r="AS519" s="159">
        <v>20</v>
      </c>
      <c r="AT519" s="4">
        <v>0</v>
      </c>
      <c r="AU519" s="160">
        <v>5</v>
      </c>
      <c r="AV519" s="160">
        <v>10</v>
      </c>
      <c r="AW519" s="160">
        <v>15</v>
      </c>
      <c r="AX519" s="160">
        <v>20</v>
      </c>
      <c r="AY519" s="160">
        <v>25</v>
      </c>
      <c r="AZ519" s="160">
        <v>30</v>
      </c>
      <c r="BA519" s="160">
        <v>40</v>
      </c>
      <c r="BE519" s="1533"/>
      <c r="BF519" s="1534"/>
      <c r="BG519" s="153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15" t="s">
        <v>124</v>
      </c>
      <c r="D520" s="171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533"/>
      <c r="AQ520" s="1534"/>
      <c r="AR520" s="1535"/>
      <c r="AS520" s="159">
        <v>15</v>
      </c>
      <c r="AT520" s="4">
        <v>0</v>
      </c>
      <c r="AU520" s="160">
        <v>3.8</v>
      </c>
      <c r="AV520" s="160">
        <v>7.5</v>
      </c>
      <c r="AW520" s="160">
        <v>11.3</v>
      </c>
      <c r="AX520" s="160">
        <v>15</v>
      </c>
      <c r="AY520" s="160">
        <v>18.8</v>
      </c>
      <c r="AZ520" s="160">
        <v>22.5</v>
      </c>
      <c r="BA520" s="160">
        <v>30</v>
      </c>
      <c r="BE520" s="1533"/>
      <c r="BF520" s="1534"/>
      <c r="BG520" s="153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36"/>
      <c r="AQ521" s="1537"/>
      <c r="AR521" s="1538"/>
      <c r="AS521" s="159">
        <v>10</v>
      </c>
      <c r="AT521" s="4">
        <v>0</v>
      </c>
      <c r="AU521" s="160">
        <v>2.5</v>
      </c>
      <c r="AV521" s="160">
        <v>5</v>
      </c>
      <c r="AW521" s="160">
        <v>7.5</v>
      </c>
      <c r="AX521" s="160">
        <v>10</v>
      </c>
      <c r="AY521" s="160">
        <v>12.5</v>
      </c>
      <c r="AZ521" s="160">
        <v>15</v>
      </c>
      <c r="BA521" s="160">
        <v>20</v>
      </c>
      <c r="BE521" s="1536"/>
      <c r="BF521" s="1537"/>
      <c r="BG521" s="153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715" t="s">
        <v>124</v>
      </c>
      <c r="D524" s="1716"/>
      <c r="F524" s="496" t="s">
        <v>874</v>
      </c>
      <c r="G524" s="1700" t="s">
        <v>983</v>
      </c>
      <c r="H524" s="1700"/>
      <c r="I524" s="1700"/>
      <c r="J524" s="1700"/>
      <c r="K524" s="1700"/>
      <c r="L524" s="1700"/>
      <c r="M524" s="1700"/>
      <c r="N524" s="1700"/>
      <c r="O524" s="1700"/>
      <c r="P524" s="1700"/>
      <c r="Q524" s="1700"/>
      <c r="R524" s="1700"/>
      <c r="S524" s="1700"/>
      <c r="T524" s="1700"/>
      <c r="U524" s="1700"/>
      <c r="V524" s="1700"/>
      <c r="W524" s="1700"/>
      <c r="X524" s="1700"/>
      <c r="Y524" s="1700"/>
      <c r="Z524" s="1700"/>
      <c r="AA524" s="1700"/>
      <c r="AB524" s="1700"/>
      <c r="AC524" s="1700"/>
      <c r="AD524" s="1700"/>
      <c r="AE524" s="1700"/>
      <c r="AF524" s="1700"/>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728">
        <f>BJ528</f>
        <v>63</v>
      </c>
      <c r="BE524" s="172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28">
        <f>SUM(E581:J589)</f>
        <v>63</v>
      </c>
      <c r="BE525" s="1728"/>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26">
        <v>0</v>
      </c>
      <c r="BK526" s="172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26">
        <f>Application!AG431</f>
        <v>0</v>
      </c>
      <c r="BK527" s="172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12" t="s">
        <v>124</v>
      </c>
      <c r="D528" s="117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26">
        <f>Application!AG433</f>
        <v>63</v>
      </c>
      <c r="BK528" s="1727"/>
      <c r="BM528" s="1723"/>
      <c r="BN528" s="1725"/>
      <c r="BO528" s="1723"/>
      <c r="BP528" s="1725"/>
      <c r="BQ528" s="1733"/>
      <c r="BR528" s="1735"/>
      <c r="BS528" s="1733"/>
      <c r="BT528" s="1735"/>
      <c r="BU528" s="1723">
        <f>IF(T611&gt;0,1,0)</f>
        <v>1</v>
      </c>
      <c r="BV528" s="1725"/>
      <c r="BW528" s="1723">
        <f>IF(Y611&gt;=0.1,1,0)</f>
        <v>1</v>
      </c>
      <c r="BX528" s="1725"/>
      <c r="BY528" s="1733"/>
      <c r="BZ528" s="1735"/>
      <c r="CA528" s="1733"/>
      <c r="CB528" s="1735"/>
      <c r="CC528" s="1723"/>
      <c r="CD528" s="1725"/>
      <c r="CE528" s="1723"/>
      <c r="CF528" s="1725"/>
      <c r="CG528"/>
      <c r="CH528"/>
      <c r="CI528"/>
      <c r="CJ528"/>
    </row>
    <row r="529" spans="1:101" s="4" customFormat="1" ht="12.75" hidden="1" customHeight="1">
      <c r="C529" s="699"/>
      <c r="E529" s="143"/>
      <c r="F529" s="1176" t="s">
        <v>124</v>
      </c>
      <c r="G529" s="1176"/>
      <c r="H529" s="1176"/>
      <c r="I529" s="1176"/>
      <c r="J529" s="1176"/>
      <c r="K529" s="1176"/>
      <c r="L529" s="1176"/>
      <c r="M529" s="1176"/>
      <c r="N529" s="1176"/>
      <c r="O529" s="1176"/>
      <c r="P529" s="1176"/>
      <c r="Q529" s="1176"/>
      <c r="R529" s="1176"/>
      <c r="S529" s="1176"/>
      <c r="T529" s="1176"/>
      <c r="U529" s="1176"/>
      <c r="V529" s="1176"/>
      <c r="W529" s="1176"/>
      <c r="X529" s="1176"/>
      <c r="Y529" s="1176"/>
      <c r="Z529" s="1176"/>
      <c r="AA529" s="1176"/>
      <c r="AB529" s="1176"/>
      <c r="AC529" s="1176"/>
      <c r="AD529" s="1176"/>
      <c r="AE529" s="1176"/>
      <c r="AF529" s="1176"/>
      <c r="AG529" s="19"/>
      <c r="AH529" s="19"/>
      <c r="AI529" s="19"/>
      <c r="AJ529" s="19"/>
      <c r="AK529" s="705"/>
      <c r="AN529" s="281"/>
      <c r="BM529" s="1723"/>
      <c r="BN529" s="1725"/>
      <c r="BO529" s="1723"/>
      <c r="BP529" s="1725"/>
      <c r="BQ529" s="1733"/>
      <c r="BR529" s="1735"/>
      <c r="BS529" s="1733"/>
      <c r="BT529" s="1735"/>
      <c r="BU529" s="1723"/>
      <c r="BV529" s="1725"/>
      <c r="BW529" s="1723"/>
      <c r="BX529" s="1725"/>
      <c r="BY529" s="1733">
        <f>IF(T612&gt;0,1,0)</f>
        <v>0</v>
      </c>
      <c r="BZ529" s="1735"/>
      <c r="CA529" s="1733">
        <f>IF(Y612&gt;=0.1,1,0)</f>
        <v>0</v>
      </c>
      <c r="CB529" s="1735"/>
      <c r="CC529" s="1723"/>
      <c r="CD529" s="1725"/>
      <c r="CE529" s="1723"/>
      <c r="CF529" s="1725"/>
      <c r="CG529"/>
      <c r="CH529"/>
      <c r="CI529"/>
      <c r="CJ529"/>
      <c r="CW529"/>
    </row>
    <row r="530" spans="1:101" s="4" customFormat="1" ht="12.75" hidden="1" customHeight="1">
      <c r="C530" s="747"/>
      <c r="D530" s="714"/>
      <c r="E530" s="728"/>
      <c r="F530" s="1891"/>
      <c r="G530" s="1891"/>
      <c r="H530" s="1891"/>
      <c r="I530" s="1891"/>
      <c r="J530" s="1891"/>
      <c r="K530" s="1891"/>
      <c r="L530" s="1891"/>
      <c r="M530" s="1891"/>
      <c r="N530" s="1891"/>
      <c r="O530" s="1891"/>
      <c r="P530" s="1891"/>
      <c r="Q530" s="1891"/>
      <c r="R530" s="1891"/>
      <c r="S530" s="1891"/>
      <c r="T530" s="1891"/>
      <c r="U530" s="1891"/>
      <c r="V530" s="1891"/>
      <c r="W530" s="1891"/>
      <c r="X530" s="1891"/>
      <c r="Y530" s="1891"/>
      <c r="Z530" s="1891"/>
      <c r="AA530" s="1891"/>
      <c r="AB530" s="1891"/>
      <c r="AC530" s="1891"/>
      <c r="AD530" s="1891"/>
      <c r="AE530" s="1891"/>
      <c r="AF530" s="1891"/>
      <c r="AG530" s="730"/>
      <c r="AH530" s="730"/>
      <c r="AI530" s="730"/>
      <c r="AJ530" s="730"/>
      <c r="AK530" s="715"/>
      <c r="AN530" s="281"/>
      <c r="BM530" s="1723"/>
      <c r="BN530" s="1725"/>
      <c r="BO530" s="1723"/>
      <c r="BP530" s="1725"/>
      <c r="BQ530" s="1733"/>
      <c r="BR530" s="1735"/>
      <c r="BS530" s="1733"/>
      <c r="BT530" s="1735"/>
      <c r="BU530" s="1723"/>
      <c r="BV530" s="1725"/>
      <c r="BW530" s="1723"/>
      <c r="BX530" s="1725"/>
      <c r="BY530" s="1733"/>
      <c r="BZ530" s="1735"/>
      <c r="CA530" s="1733"/>
      <c r="CB530" s="1735"/>
      <c r="CC530" s="1723">
        <f>IF(T613&gt;0,1,0)</f>
        <v>0</v>
      </c>
      <c r="CD530" s="1725"/>
      <c r="CE530" s="1723">
        <f>IF(Y613&gt;=0.1,1,0)</f>
        <v>0</v>
      </c>
      <c r="CF530" s="172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23">
        <f>SUM(BM526:BN530)</f>
        <v>0</v>
      </c>
      <c r="BN531" s="1725"/>
      <c r="BO531" s="1723">
        <f>SUM(BO526:BP530)</f>
        <v>0</v>
      </c>
      <c r="BP531" s="1725"/>
      <c r="BQ531" s="1723">
        <f>SUM(BQ526:BR530)</f>
        <v>1</v>
      </c>
      <c r="BR531" s="1725"/>
      <c r="BS531" s="1723">
        <f>SUM(BS526:BT530)</f>
        <v>1</v>
      </c>
      <c r="BT531" s="1725"/>
      <c r="BU531" s="1723">
        <f>SUM(BU526:BV530)</f>
        <v>1</v>
      </c>
      <c r="BV531" s="1725"/>
      <c r="BW531" s="1723">
        <f>SUM(BW526:BX530)</f>
        <v>1</v>
      </c>
      <c r="BX531" s="1725"/>
      <c r="BY531" s="1723">
        <f>SUM(BY526:BZ530)</f>
        <v>0</v>
      </c>
      <c r="BZ531" s="1725"/>
      <c r="CA531" s="1723">
        <f>SUM(CA526:CB530)</f>
        <v>0</v>
      </c>
      <c r="CB531" s="1725"/>
      <c r="CC531" s="1723">
        <f>SUM(CC526:CD530)</f>
        <v>0</v>
      </c>
      <c r="CD531" s="1725"/>
      <c r="CE531" s="1723">
        <f>SUM(CE526:CF530)</f>
        <v>0</v>
      </c>
      <c r="CF531" s="172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40" t="s">
        <v>455</v>
      </c>
      <c r="AQ532" s="1741"/>
      <c r="AR532" s="1741"/>
      <c r="AS532" s="1741"/>
      <c r="AT532" s="1742"/>
      <c r="AU532" s="1740" t="s">
        <v>456</v>
      </c>
      <c r="AV532" s="1741"/>
      <c r="AW532" s="1741"/>
      <c r="AX532" s="1741"/>
      <c r="AY532" s="1742"/>
      <c r="BM532" s="1733">
        <f>SUM(BM531:BP531)</f>
        <v>0</v>
      </c>
      <c r="BN532" s="1734"/>
      <c r="BO532" s="1734"/>
      <c r="BP532" s="1735"/>
      <c r="BQ532" s="1733">
        <f>SUM(BQ531:BT531)</f>
        <v>2</v>
      </c>
      <c r="BR532" s="1734"/>
      <c r="BS532" s="1734"/>
      <c r="BT532" s="1735"/>
      <c r="BU532" s="1733">
        <f>SUM(BU531:BX531)</f>
        <v>2</v>
      </c>
      <c r="BV532" s="1734"/>
      <c r="BW532" s="1734"/>
      <c r="BX532" s="1735"/>
      <c r="BY532" s="1733">
        <f>SUM(BY531:CB531)</f>
        <v>0</v>
      </c>
      <c r="BZ532" s="1734"/>
      <c r="CA532" s="1734"/>
      <c r="CB532" s="1735"/>
      <c r="CC532" s="1733">
        <f>SUM(CC531:CF531)</f>
        <v>0</v>
      </c>
      <c r="CD532" s="1734"/>
      <c r="CE532" s="1734"/>
      <c r="CF532" s="173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18">
        <f>RANK(T609,$T$609:$X$613,0)+COUNTIF($T$609:$X$613,T609)-1</f>
        <v>5</v>
      </c>
      <c r="AQ533" s="1719"/>
      <c r="AR533" s="1719"/>
      <c r="AS533" s="1719"/>
      <c r="AT533" s="1720"/>
      <c r="AU533" s="1718">
        <f>RANK(Y609,$Y$609:$AC$613,0)+COUNTIF($Y$609:$AC$613,Y609)-1</f>
        <v>5</v>
      </c>
      <c r="AV533" s="1719"/>
      <c r="AW533" s="1719"/>
      <c r="AX533" s="1719"/>
      <c r="AY533" s="1720"/>
      <c r="BM533" s="1733"/>
      <c r="BN533" s="1734"/>
      <c r="BO533" s="1734"/>
      <c r="BP533" s="1735"/>
      <c r="BQ533" s="1733">
        <f>IF(AND(BQ532=2,BM532=1),1,0)</f>
        <v>0</v>
      </c>
      <c r="BR533" s="1734"/>
      <c r="BS533" s="1734"/>
      <c r="BT533" s="1735"/>
      <c r="BU533" s="1733">
        <f>IF(AND(BU532=2,BQ532=1),1,0)</f>
        <v>0</v>
      </c>
      <c r="BV533" s="1734"/>
      <c r="BW533" s="1734"/>
      <c r="BX533" s="1735"/>
      <c r="BY533" s="1733">
        <f>IF(AND(BY532=2,BU532=1),1,0)</f>
        <v>0</v>
      </c>
      <c r="BZ533" s="1734"/>
      <c r="CA533" s="1734"/>
      <c r="CB533" s="1735"/>
      <c r="CC533" s="1733">
        <f>IF(AND(CC532=2,BU532=1),1,0)</f>
        <v>0</v>
      </c>
      <c r="CD533" s="1734"/>
      <c r="CE533" s="1734"/>
      <c r="CF533" s="173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18">
        <f>RANK(T610,$T$609:$X$613,0)+COUNTIF($T$609:$X$613,T610)-1</f>
        <v>1</v>
      </c>
      <c r="AQ534" s="1719"/>
      <c r="AR534" s="1719"/>
      <c r="AS534" s="1719"/>
      <c r="AT534" s="1720"/>
      <c r="AU534" s="1718">
        <f>RANK(Y610,$Y$609:$AC$613,0)+COUNTIF($Y$609:$AC$613,Y610)-1</f>
        <v>1</v>
      </c>
      <c r="AV534" s="1719"/>
      <c r="AW534" s="1719"/>
      <c r="AX534" s="1719"/>
      <c r="AY534" s="1720"/>
      <c r="BM534" s="1733"/>
      <c r="BN534" s="1734"/>
      <c r="BO534" s="1734"/>
      <c r="BP534" s="1735"/>
      <c r="BQ534" s="1733"/>
      <c r="BR534" s="1734"/>
      <c r="BS534" s="1734"/>
      <c r="BT534" s="1735"/>
      <c r="BU534" s="1733">
        <f>IF(AND(BU532=2,BM532=1),1,0)</f>
        <v>0</v>
      </c>
      <c r="BV534" s="1734"/>
      <c r="BW534" s="1734"/>
      <c r="BX534" s="1735"/>
      <c r="BY534" s="1733">
        <f>IF(AND(BY532=2,BQ532=1),1,0)</f>
        <v>0</v>
      </c>
      <c r="BZ534" s="1734"/>
      <c r="CA534" s="1734"/>
      <c r="CB534" s="1735"/>
      <c r="CC534" s="1733">
        <f>IF(AND(CC533=2,BY533=1),1,0)</f>
        <v>0</v>
      </c>
      <c r="CD534" s="1734"/>
      <c r="CE534" s="1734"/>
      <c r="CF534" s="173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18">
        <f>RANK(T611,$T$609:$X$613,0)+COUNTIF($T$609:$X$613,T611)-1</f>
        <v>2</v>
      </c>
      <c r="AQ535" s="1719"/>
      <c r="AR535" s="1719"/>
      <c r="AS535" s="1719"/>
      <c r="AT535" s="1720"/>
      <c r="AU535" s="1718">
        <f>RANK(Y611,$Y$609:$AC$613,0)+COUNTIF($Y$609:$AC$613,Y611)-1</f>
        <v>2</v>
      </c>
      <c r="AV535" s="1719"/>
      <c r="AW535" s="1719"/>
      <c r="AX535" s="1719"/>
      <c r="AY535" s="1720"/>
      <c r="BM535" s="1733"/>
      <c r="BN535" s="1734"/>
      <c r="BO535" s="1734"/>
      <c r="BP535" s="1735"/>
      <c r="BQ535" s="1733"/>
      <c r="BR535" s="1734"/>
      <c r="BS535" s="1734"/>
      <c r="BT535" s="1735"/>
      <c r="BU535" s="1733"/>
      <c r="BV535" s="1734"/>
      <c r="BW535" s="1734"/>
      <c r="BX535" s="1735"/>
      <c r="BY535" s="1733">
        <f>IF(AND(BY532=2,BM532=1),1,0)</f>
        <v>0</v>
      </c>
      <c r="BZ535" s="1734"/>
      <c r="CA535" s="1734"/>
      <c r="CB535" s="1735"/>
      <c r="CC535" s="1733">
        <f>IF(AND(CC532=2,BQ532=1),1,0)</f>
        <v>0</v>
      </c>
      <c r="CD535" s="1734"/>
      <c r="CE535" s="1734"/>
      <c r="CF535" s="173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18">
        <f>RANK(T612,$T$609:$X$613,0)+COUNTIF($T$609:$X$613,T612)-1</f>
        <v>5</v>
      </c>
      <c r="AQ536" s="1719"/>
      <c r="AR536" s="1719"/>
      <c r="AS536" s="1719"/>
      <c r="AT536" s="1720"/>
      <c r="AU536" s="1718">
        <f>RANK(Y612,$Y$609:$AC$613,0)+COUNTIF($Y$609:$AC$613,Y612)-1</f>
        <v>5</v>
      </c>
      <c r="AV536" s="1719"/>
      <c r="AW536" s="1719"/>
      <c r="AX536" s="1719"/>
      <c r="AY536" s="1720"/>
      <c r="BM536" s="1733"/>
      <c r="BN536" s="1734"/>
      <c r="BO536" s="1734"/>
      <c r="BP536" s="1735"/>
      <c r="BQ536" s="1733"/>
      <c r="BR536" s="1734"/>
      <c r="BS536" s="1734"/>
      <c r="BT536" s="1735"/>
      <c r="BU536" s="1733"/>
      <c r="BV536" s="1734"/>
      <c r="BW536" s="1734"/>
      <c r="BX536" s="1735"/>
      <c r="BY536" s="1733"/>
      <c r="BZ536" s="1734"/>
      <c r="CA536" s="1734"/>
      <c r="CB536" s="1735"/>
      <c r="CC536" s="1733">
        <f>IF(AND(CC532=2,BM532=1),1,0)</f>
        <v>0</v>
      </c>
      <c r="CD536" s="1734"/>
      <c r="CE536" s="1734"/>
      <c r="CF536" s="173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18">
        <f>RANK(T613,$T$609:$X$613,0)+COUNTIF($T$609:$X$613,T613)-1</f>
        <v>5</v>
      </c>
      <c r="AQ537" s="1719"/>
      <c r="AR537" s="1719"/>
      <c r="AS537" s="1719"/>
      <c r="AT537" s="1720"/>
      <c r="AU537" s="1718">
        <f>RANK(Y613,$Y$609:$AC$613,0)+COUNTIF($Y$609:$AC$613,Y613)-1</f>
        <v>5</v>
      </c>
      <c r="AV537" s="1719"/>
      <c r="AW537" s="1719"/>
      <c r="AX537" s="1719"/>
      <c r="AY537" s="1720"/>
      <c r="BM537" s="1733">
        <f>SUM(BM533:BP536)</f>
        <v>0</v>
      </c>
      <c r="BN537" s="1734"/>
      <c r="BO537" s="1734"/>
      <c r="BP537" s="1735"/>
      <c r="BQ537" s="1733">
        <f>SUM(BQ533:BT536)</f>
        <v>0</v>
      </c>
      <c r="BR537" s="1734"/>
      <c r="BS537" s="1734"/>
      <c r="BT537" s="1735"/>
      <c r="BU537" s="1733">
        <f>SUM(BU533:BX536)</f>
        <v>0</v>
      </c>
      <c r="BV537" s="1734"/>
      <c r="BW537" s="1734"/>
      <c r="BX537" s="1735"/>
      <c r="BY537" s="1733">
        <f>SUM(BY533:CB536)</f>
        <v>0</v>
      </c>
      <c r="BZ537" s="1734"/>
      <c r="CA537" s="1734"/>
      <c r="CB537" s="1735"/>
      <c r="CC537" s="1733">
        <f>SUM(CC533:CF536)</f>
        <v>0</v>
      </c>
      <c r="CD537" s="1734"/>
      <c r="CE537" s="1734"/>
      <c r="CF537" s="1735"/>
      <c r="CG537" s="1733">
        <f>SUM(BM537:CF537)</f>
        <v>0</v>
      </c>
      <c r="CH537" s="1734"/>
      <c r="CI537" s="1734"/>
      <c r="CJ537" s="173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312">
        <f>SUM(AG484:AG529)</f>
        <v>0</v>
      </c>
      <c r="AL540" s="1313"/>
      <c r="AM540" s="131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23">
        <f>SUM(O609:S613)</f>
        <v>63</v>
      </c>
      <c r="AZ541" s="1725"/>
      <c r="CG541"/>
      <c r="CH541" s="1855" t="s">
        <v>775</v>
      </c>
      <c r="CI541" s="1292"/>
      <c r="CJ541" s="1292"/>
      <c r="CK541" s="129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23" t="str">
        <f>IF(AY541=BK568,"passed","failed")</f>
        <v>passed</v>
      </c>
      <c r="AT542" s="1724"/>
      <c r="AU542" s="1725"/>
      <c r="AV542" s="151"/>
      <c r="AW542" s="151"/>
      <c r="AX542" s="151"/>
      <c r="AY542" s="151"/>
      <c r="AZ542" s="152"/>
      <c r="CG542"/>
      <c r="CH542" s="1294"/>
      <c r="CI542" s="1295"/>
      <c r="CJ542" s="1295"/>
      <c r="CK542" s="1296"/>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48" t="s">
        <v>365</v>
      </c>
      <c r="AF543" s="1748"/>
      <c r="AG543" s="1748"/>
      <c r="AH543" s="1748"/>
      <c r="AI543" s="1748"/>
      <c r="AJ543" s="1748"/>
      <c r="AK543" s="174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94"/>
      <c r="CI543" s="1295"/>
      <c r="CJ543" s="1295"/>
      <c r="CK543" s="1296"/>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36" t="s">
        <v>182</v>
      </c>
      <c r="AH544" s="1736"/>
      <c r="AI544" s="1736"/>
      <c r="AJ544" s="1736"/>
      <c r="AK544" s="18"/>
      <c r="AL544" s="18"/>
      <c r="AM544" s="21"/>
      <c r="AN544" s="281"/>
      <c r="BE544" s="1733" t="s">
        <v>223</v>
      </c>
      <c r="BF544" s="1734"/>
      <c r="BG544" s="1734"/>
      <c r="BH544" s="1735"/>
      <c r="BI544" s="1733" t="s">
        <v>716</v>
      </c>
      <c r="BJ544" s="1734"/>
      <c r="BK544" s="1734"/>
      <c r="BL544" s="1735"/>
      <c r="BM544" s="1733" t="s">
        <v>717</v>
      </c>
      <c r="BN544" s="1734"/>
      <c r="BO544" s="1734"/>
      <c r="BP544" s="1735"/>
      <c r="BQ544" s="1733" t="s">
        <v>718</v>
      </c>
      <c r="BR544" s="1734"/>
      <c r="BS544" s="1734"/>
      <c r="BT544" s="1735"/>
      <c r="BU544" s="1733" t="s">
        <v>719</v>
      </c>
      <c r="BV544" s="1734"/>
      <c r="BW544" s="1734"/>
      <c r="BX544" s="1735"/>
      <c r="BY544" s="1733" t="s">
        <v>224</v>
      </c>
      <c r="BZ544" s="1734"/>
      <c r="CA544" s="1734"/>
      <c r="CB544" s="1735"/>
      <c r="CC544"/>
      <c r="CG544"/>
      <c r="CH544" s="1294"/>
      <c r="CI544" s="1295"/>
      <c r="CJ544" s="1295"/>
      <c r="CK544" s="1296"/>
    </row>
    <row r="545" spans="1:89" s="4" customFormat="1" ht="12.75" customHeight="1">
      <c r="A545" s="3"/>
      <c r="B545" s="1698" t="s">
        <v>1719</v>
      </c>
      <c r="C545" s="1698"/>
      <c r="D545" s="1698"/>
      <c r="E545" s="1698"/>
      <c r="F545" s="1698"/>
      <c r="G545" s="1698"/>
      <c r="H545" s="1698"/>
      <c r="I545" s="1698"/>
      <c r="J545" s="1698"/>
      <c r="K545" s="1698"/>
      <c r="L545" s="1698"/>
      <c r="M545" s="1698"/>
      <c r="N545" s="1698"/>
      <c r="O545" s="1698"/>
      <c r="P545" s="1698"/>
      <c r="Q545" s="1698"/>
      <c r="R545" s="1698"/>
      <c r="S545" s="1698"/>
      <c r="T545" s="1698"/>
      <c r="U545" s="1698"/>
      <c r="V545" s="1698"/>
      <c r="W545" s="1698"/>
      <c r="X545" s="1698"/>
      <c r="Y545" s="1698"/>
      <c r="Z545" s="1698"/>
      <c r="AA545" s="1698"/>
      <c r="AB545" s="1698"/>
      <c r="AC545" s="1698"/>
      <c r="AD545" s="1698"/>
      <c r="AE545" s="1698"/>
      <c r="AF545" s="1698"/>
      <c r="AG545" s="1698"/>
      <c r="AK545" s="21"/>
      <c r="AL545" s="21"/>
      <c r="AN545" s="281"/>
      <c r="AP545" s="434" t="s">
        <v>613</v>
      </c>
      <c r="AQ545" s="435"/>
      <c r="AR545" s="435"/>
      <c r="AS545" s="435"/>
      <c r="AT545" s="435"/>
      <c r="AU545" s="435"/>
      <c r="AV545" s="436"/>
      <c r="AW545" s="435"/>
      <c r="AX545" s="435"/>
      <c r="AY545" s="436"/>
      <c r="BE545" s="1723">
        <f>IF(CH546=1,0,1)</f>
        <v>0</v>
      </c>
      <c r="BF545" s="1724"/>
      <c r="BG545" s="1724"/>
      <c r="BH545" s="1725"/>
      <c r="BI545" s="1723"/>
      <c r="BJ545" s="1724"/>
      <c r="BK545" s="1724"/>
      <c r="BL545" s="1725"/>
      <c r="BM545" s="1723"/>
      <c r="BN545" s="1724"/>
      <c r="BO545" s="1724"/>
      <c r="BP545" s="1725"/>
      <c r="BQ545" s="1723"/>
      <c r="BR545" s="1724"/>
      <c r="BS545" s="1724"/>
      <c r="BT545" s="1725"/>
      <c r="BU545" s="1733"/>
      <c r="BV545" s="1734"/>
      <c r="BW545" s="1734"/>
      <c r="BX545" s="1735"/>
      <c r="BY545" s="1733"/>
      <c r="BZ545" s="1734"/>
      <c r="CA545" s="1734"/>
      <c r="CB545" s="1735"/>
      <c r="CC545"/>
      <c r="CG545"/>
      <c r="CH545" s="1297"/>
      <c r="CI545" s="1298"/>
      <c r="CJ545" s="1298"/>
      <c r="CK545" s="1299"/>
    </row>
    <row r="546" spans="1:89" s="4" customFormat="1" ht="12.75" customHeight="1">
      <c r="A546" s="20"/>
      <c r="B546" s="1698"/>
      <c r="C546" s="1698"/>
      <c r="D546" s="1698"/>
      <c r="E546" s="1698"/>
      <c r="F546" s="1698"/>
      <c r="G546" s="1698"/>
      <c r="H546" s="1698"/>
      <c r="I546" s="1698"/>
      <c r="J546" s="1698"/>
      <c r="K546" s="1698"/>
      <c r="L546" s="1698"/>
      <c r="M546" s="1698"/>
      <c r="N546" s="1698"/>
      <c r="O546" s="1698"/>
      <c r="P546" s="1698"/>
      <c r="Q546" s="1698"/>
      <c r="R546" s="1698"/>
      <c r="S546" s="1698"/>
      <c r="T546" s="1698"/>
      <c r="U546" s="1698"/>
      <c r="V546" s="1698"/>
      <c r="W546" s="1698"/>
      <c r="X546" s="1698"/>
      <c r="Y546" s="1698"/>
      <c r="Z546" s="1698"/>
      <c r="AA546" s="1698"/>
      <c r="AB546" s="1698"/>
      <c r="AC546" s="1698"/>
      <c r="AD546" s="1698"/>
      <c r="AE546" s="1698"/>
      <c r="AF546" s="1698"/>
      <c r="AG546" s="1698"/>
      <c r="AK546" s="163"/>
      <c r="AL546" s="163"/>
      <c r="AM546" s="163"/>
      <c r="AN546" s="281"/>
      <c r="AP546" s="437" t="s">
        <v>611</v>
      </c>
      <c r="AQ546" s="438"/>
      <c r="AR546" s="438"/>
      <c r="AS546" s="438"/>
      <c r="AT546" s="438"/>
      <c r="AU546" s="1721">
        <f>ROUNDUP(BK568*0.1,0)</f>
        <v>7</v>
      </c>
      <c r="AV546" s="1722"/>
      <c r="AW546" s="438"/>
      <c r="AX546" s="438">
        <f>AU546-AP548</f>
        <v>-8</v>
      </c>
      <c r="AY546" s="439"/>
      <c r="BE546" s="1723"/>
      <c r="BF546" s="1724"/>
      <c r="BG546" s="1724"/>
      <c r="BH546" s="1725"/>
      <c r="BI546" s="1723">
        <f>IF(AND(CH547=1,BE545=0),0,1)</f>
        <v>0</v>
      </c>
      <c r="BJ546" s="1724"/>
      <c r="BK546" s="1724"/>
      <c r="BL546" s="1725"/>
      <c r="BM546" s="1723"/>
      <c r="BN546" s="1724"/>
      <c r="BO546" s="1724"/>
      <c r="BP546" s="1725"/>
      <c r="BQ546" s="1723"/>
      <c r="BR546" s="1724"/>
      <c r="BS546" s="1724"/>
      <c r="BT546" s="1725"/>
      <c r="BU546" s="1733"/>
      <c r="BV546" s="1734"/>
      <c r="BW546" s="1734"/>
      <c r="BX546" s="1735"/>
      <c r="BY546" s="1733"/>
      <c r="BZ546" s="1734"/>
      <c r="CA546" s="1734"/>
      <c r="CB546" s="1735"/>
      <c r="CC546"/>
      <c r="CG546"/>
      <c r="CH546" s="1733">
        <f>IF(OR(Y609=0,Y609&gt;=0.1),1,0)</f>
        <v>1</v>
      </c>
      <c r="CI546" s="1734"/>
      <c r="CJ546" s="1734"/>
      <c r="CK546" s="1735"/>
    </row>
    <row r="547" spans="1:89" s="4" customFormat="1" ht="12.75" customHeight="1">
      <c r="B547" s="1698"/>
      <c r="C547" s="1698"/>
      <c r="D547" s="1698"/>
      <c r="E547" s="1698"/>
      <c r="F547" s="1698"/>
      <c r="G547" s="1698"/>
      <c r="H547" s="1698"/>
      <c r="I547" s="1698"/>
      <c r="J547" s="1698"/>
      <c r="K547" s="1698"/>
      <c r="L547" s="1698"/>
      <c r="M547" s="1698"/>
      <c r="N547" s="1698"/>
      <c r="O547" s="1698"/>
      <c r="P547" s="1698"/>
      <c r="Q547" s="1698"/>
      <c r="R547" s="1698"/>
      <c r="S547" s="1698"/>
      <c r="T547" s="1698"/>
      <c r="U547" s="1698"/>
      <c r="V547" s="1698"/>
      <c r="W547" s="1698"/>
      <c r="X547" s="1698"/>
      <c r="Y547" s="1698"/>
      <c r="Z547" s="1698"/>
      <c r="AA547" s="1698"/>
      <c r="AB547" s="1698"/>
      <c r="AC547" s="1698"/>
      <c r="AD547" s="1698"/>
      <c r="AE547" s="1698"/>
      <c r="AF547" s="1698"/>
      <c r="AG547" s="1698"/>
      <c r="AH547" s="162"/>
      <c r="AI547" s="162"/>
      <c r="AJ547" s="162"/>
      <c r="AK547" s="163"/>
      <c r="AL547" s="163"/>
      <c r="AM547" s="163"/>
      <c r="AN547" s="281"/>
      <c r="AP547" s="437"/>
      <c r="AQ547" s="438"/>
      <c r="AR547" s="438"/>
      <c r="AS547" s="438"/>
      <c r="AT547" s="438"/>
      <c r="AU547" s="438"/>
      <c r="AV547" s="439"/>
      <c r="AW547" s="438"/>
      <c r="AX547" s="438"/>
      <c r="AY547" s="439"/>
      <c r="BE547" s="1723"/>
      <c r="BF547" s="1724"/>
      <c r="BG547" s="1724"/>
      <c r="BH547" s="1725"/>
      <c r="BI547" s="1723"/>
      <c r="BJ547" s="1724"/>
      <c r="BK547" s="1724"/>
      <c r="BL547" s="1725"/>
      <c r="BM547" s="1723">
        <f>IF(AND(AND(CH548=1,BI546=0,BE545=0)),0,1)</f>
        <v>0</v>
      </c>
      <c r="BN547" s="1724"/>
      <c r="BO547" s="1724"/>
      <c r="BP547" s="1725"/>
      <c r="BQ547" s="1723"/>
      <c r="BR547" s="1724"/>
      <c r="BS547" s="1724"/>
      <c r="BT547" s="1725"/>
      <c r="BU547" s="1733"/>
      <c r="BV547" s="1734"/>
      <c r="BW547" s="1734"/>
      <c r="BX547" s="1735"/>
      <c r="BY547" s="1733"/>
      <c r="BZ547" s="1734"/>
      <c r="CA547" s="1734"/>
      <c r="CB547" s="1735"/>
      <c r="CC547"/>
      <c r="CG547"/>
      <c r="CH547" s="1733">
        <f>IF(OR(Y610=0,Y610&gt;=0.1),1,0)</f>
        <v>1</v>
      </c>
      <c r="CI547" s="1734"/>
      <c r="CJ547" s="1734"/>
      <c r="CK547" s="1735"/>
    </row>
    <row r="548" spans="1:89" s="4" customFormat="1" ht="12.75" customHeight="1">
      <c r="B548" s="1698"/>
      <c r="C548" s="1698"/>
      <c r="D548" s="1698"/>
      <c r="E548" s="1698"/>
      <c r="F548" s="1698"/>
      <c r="G548" s="1698"/>
      <c r="H548" s="1698"/>
      <c r="I548" s="1698"/>
      <c r="J548" s="1698"/>
      <c r="K548" s="1698"/>
      <c r="L548" s="1698"/>
      <c r="M548" s="1698"/>
      <c r="N548" s="1698"/>
      <c r="O548" s="1698"/>
      <c r="P548" s="1698"/>
      <c r="Q548" s="1698"/>
      <c r="R548" s="1698"/>
      <c r="S548" s="1698"/>
      <c r="T548" s="1698"/>
      <c r="U548" s="1698"/>
      <c r="V548" s="1698"/>
      <c r="W548" s="1698"/>
      <c r="X548" s="1698"/>
      <c r="Y548" s="1698"/>
      <c r="Z548" s="1698"/>
      <c r="AA548" s="1698"/>
      <c r="AB548" s="1698"/>
      <c r="AC548" s="1698"/>
      <c r="AD548" s="1698"/>
      <c r="AE548" s="1698"/>
      <c r="AF548" s="1698"/>
      <c r="AG548" s="1698"/>
      <c r="AH548" s="162"/>
      <c r="AI548" s="162"/>
      <c r="AJ548" s="162"/>
      <c r="AK548" s="163"/>
      <c r="AL548" s="163"/>
      <c r="AM548" s="163"/>
      <c r="AN548" s="281"/>
      <c r="AP548" s="1763">
        <f>SUM(T609:X613)</f>
        <v>15</v>
      </c>
      <c r="AQ548" s="1764"/>
      <c r="AR548" s="1764"/>
      <c r="AS548" s="1764"/>
      <c r="AT548" s="1765"/>
      <c r="AU548" s="438"/>
      <c r="AV548" s="439"/>
      <c r="AW548" s="438"/>
      <c r="AX548" s="438"/>
      <c r="AY548" s="439"/>
      <c r="BE548" s="1723"/>
      <c r="BF548" s="1724"/>
      <c r="BG548" s="1724"/>
      <c r="BH548" s="1725"/>
      <c r="BI548" s="1723"/>
      <c r="BJ548" s="1724"/>
      <c r="BK548" s="1724"/>
      <c r="BL548" s="1725"/>
      <c r="BM548" s="1723"/>
      <c r="BN548" s="1724"/>
      <c r="BO548" s="1724"/>
      <c r="BP548" s="1725"/>
      <c r="BQ548" s="1723">
        <f>IF(AND(AND(AND(CH549=1,BM547=0,BI546=0,BE545=0))),0,1)</f>
        <v>0</v>
      </c>
      <c r="BR548" s="1724"/>
      <c r="BS548" s="1724"/>
      <c r="BT548" s="1725"/>
      <c r="BU548" s="1733"/>
      <c r="BV548" s="1734"/>
      <c r="BW548" s="1734"/>
      <c r="BX548" s="1735"/>
      <c r="BY548" s="1733"/>
      <c r="BZ548" s="1734"/>
      <c r="CA548" s="1734"/>
      <c r="CB548" s="1735"/>
      <c r="CC548"/>
      <c r="CG548"/>
      <c r="CH548" s="1733">
        <f>IF(OR(Y611=0,Y611&gt;=0.1),1,0)</f>
        <v>1</v>
      </c>
      <c r="CI548" s="1734"/>
      <c r="CJ548" s="1734"/>
      <c r="CK548" s="1735"/>
    </row>
    <row r="549" spans="1:89" s="4" customFormat="1" ht="12.75" customHeight="1">
      <c r="B549" s="1698"/>
      <c r="C549" s="1698"/>
      <c r="D549" s="1698"/>
      <c r="E549" s="1698"/>
      <c r="F549" s="1698"/>
      <c r="G549" s="1698"/>
      <c r="H549" s="1698"/>
      <c r="I549" s="1698"/>
      <c r="J549" s="1698"/>
      <c r="K549" s="1698"/>
      <c r="L549" s="1698"/>
      <c r="M549" s="1698"/>
      <c r="N549" s="1698"/>
      <c r="O549" s="1698"/>
      <c r="P549" s="1698"/>
      <c r="Q549" s="1698"/>
      <c r="R549" s="1698"/>
      <c r="S549" s="1698"/>
      <c r="T549" s="1698"/>
      <c r="U549" s="1698"/>
      <c r="V549" s="1698"/>
      <c r="W549" s="1698"/>
      <c r="X549" s="1698"/>
      <c r="Y549" s="1698"/>
      <c r="Z549" s="1698"/>
      <c r="AA549" s="1698"/>
      <c r="AB549" s="1698"/>
      <c r="AC549" s="1698"/>
      <c r="AD549" s="1698"/>
      <c r="AE549" s="1698"/>
      <c r="AF549" s="1698"/>
      <c r="AG549" s="1698"/>
      <c r="AH549" s="162"/>
      <c r="AI549" s="162"/>
      <c r="AJ549" s="162"/>
      <c r="AK549" s="163"/>
      <c r="AL549" s="163"/>
      <c r="AM549" s="163"/>
      <c r="AN549" s="281"/>
      <c r="AP549" s="440"/>
      <c r="AQ549" s="441"/>
      <c r="AR549" s="441"/>
      <c r="AS549" s="441"/>
      <c r="AT549" s="442" t="s">
        <v>606</v>
      </c>
      <c r="AU549" s="1721" t="str">
        <f>IF(AP548&gt;=AU546,"passed","failed")</f>
        <v>passed</v>
      </c>
      <c r="AV549" s="1866"/>
      <c r="AW549" s="1722"/>
      <c r="AX549" s="443"/>
      <c r="AY549" s="444"/>
      <c r="BE549" s="1723"/>
      <c r="BF549" s="1724"/>
      <c r="BG549" s="1724"/>
      <c r="BH549" s="1725"/>
      <c r="BI549" s="1723"/>
      <c r="BJ549" s="1724"/>
      <c r="BK549" s="1724"/>
      <c r="BL549" s="1725"/>
      <c r="BM549" s="1723"/>
      <c r="BN549" s="1724"/>
      <c r="BO549" s="1724"/>
      <c r="BP549" s="1725"/>
      <c r="BQ549" s="1723"/>
      <c r="BR549" s="1724"/>
      <c r="BS549" s="1724"/>
      <c r="BT549" s="1725"/>
      <c r="BU549" s="1723">
        <f>IF(AND(AND(AND(AND(CH550=1,BQ548=0,BM547=0,BI546=0,BE545=0)))),0,1)</f>
        <v>0</v>
      </c>
      <c r="BV549" s="1724"/>
      <c r="BW549" s="1724"/>
      <c r="BX549" s="1725"/>
      <c r="BY549" s="1733"/>
      <c r="BZ549" s="1734"/>
      <c r="CA549" s="1734"/>
      <c r="CB549" s="1735"/>
      <c r="CC549"/>
      <c r="CD549"/>
      <c r="CE549"/>
      <c r="CF549"/>
      <c r="CG549"/>
      <c r="CH549" s="1733">
        <f>IF(OR(Y612=0,Y612&gt;=0.1),1,0)</f>
        <v>1</v>
      </c>
      <c r="CI549" s="1734"/>
      <c r="CJ549" s="1734"/>
      <c r="CK549" s="1735"/>
    </row>
    <row r="550" spans="1:89" s="4" customFormat="1" ht="13.65" customHeight="1">
      <c r="B550" s="1698"/>
      <c r="C550" s="1698"/>
      <c r="D550" s="1698"/>
      <c r="E550" s="1698"/>
      <c r="F550" s="1698"/>
      <c r="G550" s="1698"/>
      <c r="H550" s="1698"/>
      <c r="I550" s="1698"/>
      <c r="J550" s="1698"/>
      <c r="K550" s="1698"/>
      <c r="L550" s="1698"/>
      <c r="M550" s="1698"/>
      <c r="N550" s="1698"/>
      <c r="O550" s="1698"/>
      <c r="P550" s="1698"/>
      <c r="Q550" s="1698"/>
      <c r="R550" s="1698"/>
      <c r="S550" s="1698"/>
      <c r="T550" s="1698"/>
      <c r="U550" s="1698"/>
      <c r="V550" s="1698"/>
      <c r="W550" s="1698"/>
      <c r="X550" s="1698"/>
      <c r="Y550" s="1698"/>
      <c r="Z550" s="1698"/>
      <c r="AA550" s="1698"/>
      <c r="AB550" s="1698"/>
      <c r="AC550" s="1698"/>
      <c r="AD550" s="1698"/>
      <c r="AE550" s="1698"/>
      <c r="AF550" s="1698"/>
      <c r="AG550" s="1698"/>
      <c r="AH550" s="162"/>
      <c r="AI550" s="162"/>
      <c r="AJ550" s="162"/>
      <c r="AK550" s="163"/>
      <c r="AL550" s="163"/>
      <c r="AM550" s="163"/>
      <c r="AN550" s="281"/>
      <c r="BE550" s="1723">
        <f>SUM(BE545:BH549)</f>
        <v>0</v>
      </c>
      <c r="BF550" s="1724"/>
      <c r="BG550" s="1724"/>
      <c r="BH550" s="1725"/>
      <c r="BI550" s="1723">
        <f>SUM(BI545:BL549)</f>
        <v>0</v>
      </c>
      <c r="BJ550" s="1724"/>
      <c r="BK550" s="1724"/>
      <c r="BL550" s="1725"/>
      <c r="BM550" s="1723">
        <f>SUM(BM545:BP549)</f>
        <v>0</v>
      </c>
      <c r="BN550" s="1724"/>
      <c r="BO550" s="1724"/>
      <c r="BP550" s="1725"/>
      <c r="BQ550" s="1723">
        <f>SUM(BQ545:BT549)</f>
        <v>0</v>
      </c>
      <c r="BR550" s="1724"/>
      <c r="BS550" s="1724"/>
      <c r="BT550" s="1725"/>
      <c r="BU550" s="1723">
        <f>SUM(BU545:BX549)</f>
        <v>0</v>
      </c>
      <c r="BV550" s="1724"/>
      <c r="BW550" s="1724"/>
      <c r="BX550" s="1725"/>
      <c r="BY550" s="1723">
        <f>SUM(BY545:CB549)</f>
        <v>0</v>
      </c>
      <c r="BZ550" s="1724"/>
      <c r="CA550" s="1724"/>
      <c r="CB550" s="1725"/>
      <c r="CC550" s="1733">
        <f>IF(AND(CH546=1,T609&gt;0),0,SUM(BE550:CB550))</f>
        <v>0</v>
      </c>
      <c r="CD550" s="1734"/>
      <c r="CE550" s="1734"/>
      <c r="CF550" s="1735"/>
      <c r="CG550"/>
      <c r="CH550" s="1733">
        <f>IF(OR(Y613=0,Y613&gt;=0.1),1,0)</f>
        <v>1</v>
      </c>
      <c r="CI550" s="1734"/>
      <c r="CJ550" s="1734"/>
      <c r="CK550" s="1735"/>
    </row>
    <row r="551" spans="1:89" s="4" customFormat="1" ht="12.45" customHeight="1">
      <c r="B551" s="1870" t="s">
        <v>1499</v>
      </c>
      <c r="C551" s="1870"/>
      <c r="D551" s="1870"/>
      <c r="E551" s="1870"/>
      <c r="F551" s="1870"/>
      <c r="G551" s="1870"/>
      <c r="H551" s="1870"/>
      <c r="I551" s="1870"/>
      <c r="J551" s="1870"/>
      <c r="K551" s="1870"/>
      <c r="L551" s="1870"/>
      <c r="M551" s="1870"/>
      <c r="N551" s="1870"/>
      <c r="O551" s="1870"/>
      <c r="P551" s="1870"/>
      <c r="Q551" s="1870"/>
      <c r="R551" s="1870"/>
      <c r="S551" s="1870"/>
      <c r="T551" s="1870"/>
      <c r="U551" s="1870"/>
      <c r="V551" s="1870"/>
      <c r="W551" s="1870"/>
      <c r="X551" s="1870"/>
      <c r="Y551" s="1870"/>
      <c r="Z551" s="1870"/>
      <c r="AA551" s="1870"/>
      <c r="AB551" s="1870"/>
      <c r="AC551" s="1870"/>
      <c r="AD551" s="1870"/>
      <c r="AE551" s="1870"/>
      <c r="AF551" s="1870"/>
      <c r="AG551" s="1870"/>
      <c r="AH551" s="162"/>
      <c r="AI551" s="162"/>
      <c r="AJ551" s="162"/>
      <c r="AK551" s="163"/>
      <c r="AL551" s="163"/>
      <c r="AM551" s="163"/>
      <c r="AN551" s="281"/>
    </row>
    <row r="552" spans="1:89" s="4" customFormat="1" ht="21" customHeight="1">
      <c r="B552" s="1870"/>
      <c r="C552" s="1870"/>
      <c r="D552" s="1870"/>
      <c r="E552" s="1870"/>
      <c r="F552" s="1870"/>
      <c r="G552" s="1870"/>
      <c r="H552" s="1870"/>
      <c r="I552" s="1870"/>
      <c r="J552" s="1870"/>
      <c r="K552" s="1870"/>
      <c r="L552" s="1870"/>
      <c r="M552" s="1870"/>
      <c r="N552" s="1870"/>
      <c r="O552" s="1870"/>
      <c r="P552" s="1870"/>
      <c r="Q552" s="1870"/>
      <c r="R552" s="1870"/>
      <c r="S552" s="1870"/>
      <c r="T552" s="1870"/>
      <c r="U552" s="1870"/>
      <c r="V552" s="1870"/>
      <c r="W552" s="1870"/>
      <c r="X552" s="1870"/>
      <c r="Y552" s="1870"/>
      <c r="Z552" s="1870"/>
      <c r="AA552" s="1870"/>
      <c r="AB552" s="1870"/>
      <c r="AC552" s="1870"/>
      <c r="AD552" s="1870"/>
      <c r="AE552" s="1870"/>
      <c r="AF552" s="1870"/>
      <c r="AG552" s="187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70" t="s">
        <v>1761</v>
      </c>
      <c r="C553" s="1870"/>
      <c r="D553" s="1870"/>
      <c r="E553" s="1870"/>
      <c r="F553" s="1870"/>
      <c r="G553" s="1870"/>
      <c r="H553" s="1870"/>
      <c r="I553" s="1870"/>
      <c r="J553" s="1870"/>
      <c r="K553" s="1870"/>
      <c r="L553" s="1870"/>
      <c r="M553" s="1870"/>
      <c r="N553" s="1870"/>
      <c r="O553" s="1870"/>
      <c r="P553" s="1870"/>
      <c r="Q553" s="1870"/>
      <c r="R553" s="1870"/>
      <c r="S553" s="1870"/>
      <c r="T553" s="1870"/>
      <c r="U553" s="1870"/>
      <c r="V553" s="1870"/>
      <c r="W553" s="1870"/>
      <c r="X553" s="1870"/>
      <c r="Y553" s="1870"/>
      <c r="Z553" s="1870"/>
      <c r="AA553" s="1870"/>
      <c r="AB553" s="1870"/>
      <c r="AC553" s="1870"/>
      <c r="AD553" s="1870"/>
      <c r="AE553" s="1870"/>
      <c r="AF553" s="1870"/>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70"/>
      <c r="C554" s="1870"/>
      <c r="D554" s="1870"/>
      <c r="E554" s="1870"/>
      <c r="F554" s="1870"/>
      <c r="G554" s="1870"/>
      <c r="H554" s="1870"/>
      <c r="I554" s="1870"/>
      <c r="J554" s="1870"/>
      <c r="K554" s="1870"/>
      <c r="L554" s="1870"/>
      <c r="M554" s="1870"/>
      <c r="N554" s="1870"/>
      <c r="O554" s="1870"/>
      <c r="P554" s="1870"/>
      <c r="Q554" s="1870"/>
      <c r="R554" s="1870"/>
      <c r="S554" s="1870"/>
      <c r="T554" s="1870"/>
      <c r="U554" s="1870"/>
      <c r="V554" s="1870"/>
      <c r="W554" s="1870"/>
      <c r="X554" s="1870"/>
      <c r="Y554" s="1870"/>
      <c r="Z554" s="1870"/>
      <c r="AA554" s="1870"/>
      <c r="AB554" s="1870"/>
      <c r="AC554" s="1870"/>
      <c r="AD554" s="1870"/>
      <c r="AE554" s="1870"/>
      <c r="AF554" s="1870"/>
      <c r="AG554" s="162"/>
      <c r="AH554" s="162"/>
      <c r="AI554" s="162"/>
      <c r="AJ554" s="162"/>
      <c r="AK554" s="163"/>
      <c r="AL554" s="163"/>
      <c r="AM554" s="163"/>
      <c r="AN554" s="281"/>
      <c r="AP554" s="150"/>
      <c r="AQ554" s="151"/>
      <c r="AR554" s="151"/>
      <c r="AS554" s="151"/>
      <c r="AT554" s="157" t="s">
        <v>606</v>
      </c>
      <c r="AU554" s="151"/>
      <c r="AV554" s="1723" t="str">
        <f>IF(BJ590&gt;0,"failed","passed")</f>
        <v>passed</v>
      </c>
      <c r="AW554" s="1724"/>
      <c r="AX554" s="1724"/>
      <c r="AY554" s="1725"/>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900" t="s">
        <v>1500</v>
      </c>
      <c r="R557" s="1900"/>
      <c r="S557" s="1900"/>
      <c r="T557" s="1900"/>
      <c r="U557" s="1900"/>
      <c r="V557" s="1900"/>
      <c r="W557" s="1900"/>
      <c r="X557" s="1900"/>
      <c r="Y557" s="1900"/>
      <c r="Z557" s="1900"/>
      <c r="AA557" s="1900"/>
      <c r="AB557" s="1900"/>
      <c r="AC557" s="1900"/>
      <c r="AD557" s="1900"/>
      <c r="AE557" s="1900"/>
      <c r="AF557" s="190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900"/>
      <c r="R558" s="1900"/>
      <c r="S558" s="1900"/>
      <c r="T558" s="1900"/>
      <c r="U558" s="1900"/>
      <c r="V558" s="1900"/>
      <c r="W558" s="1900"/>
      <c r="X558" s="1900"/>
      <c r="Y558" s="1900"/>
      <c r="Z558" s="1900"/>
      <c r="AA558" s="1900"/>
      <c r="AB558" s="1900"/>
      <c r="AC558" s="1900"/>
      <c r="AD558" s="1900"/>
      <c r="AE558" s="1900"/>
      <c r="AF558" s="1900"/>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708" t="s">
        <v>1760</v>
      </c>
      <c r="R559" s="1709"/>
      <c r="S559" s="1781" t="s">
        <v>204</v>
      </c>
      <c r="T559" s="1781"/>
      <c r="U559" s="1708">
        <v>0.5</v>
      </c>
      <c r="V559" s="1709"/>
      <c r="W559" s="1708">
        <v>0.45</v>
      </c>
      <c r="X559" s="1709"/>
      <c r="Y559" s="1708">
        <v>0.4</v>
      </c>
      <c r="Z559" s="1709"/>
      <c r="AA559" s="1708">
        <v>0.35</v>
      </c>
      <c r="AB559" s="1709"/>
      <c r="AC559" s="1864">
        <v>0.3</v>
      </c>
      <c r="AD559" s="1865"/>
      <c r="AE559" s="1708">
        <v>0.2</v>
      </c>
      <c r="AF559" s="170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705"/>
      <c r="P560" s="1706"/>
      <c r="Q560" s="1905"/>
      <c r="R560" s="1871"/>
      <c r="S560" s="1879"/>
      <c r="T560" s="1879"/>
      <c r="U560" s="1871"/>
      <c r="V560" s="1871"/>
      <c r="W560" s="1871"/>
      <c r="X560" s="1871"/>
      <c r="Y560" s="1871"/>
      <c r="Z560" s="1871"/>
      <c r="AA560" s="1874"/>
      <c r="AB560" s="1874"/>
      <c r="AC560" s="1871"/>
      <c r="AD560" s="1871"/>
      <c r="AE560" s="1862"/>
      <c r="AF560" s="1863"/>
      <c r="AN560" s="281"/>
      <c r="AP560" s="144" t="s">
        <v>713</v>
      </c>
      <c r="AQ560" s="9"/>
      <c r="AR560" s="9"/>
      <c r="AS560" s="9"/>
      <c r="AT560" s="1733" t="str">
        <f>IF(OR(AV554="passed",BD558="passed"),"passed","failed")</f>
        <v>passed</v>
      </c>
      <c r="AU560" s="1734"/>
      <c r="AV560" s="1734"/>
      <c r="AW560" s="1734"/>
      <c r="AX560" s="1735"/>
    </row>
    <row r="561" spans="1:96" s="4" customFormat="1" ht="12.75" customHeight="1">
      <c r="B561" s="63"/>
      <c r="I561" s="220"/>
      <c r="J561" s="162"/>
      <c r="N561" s="5"/>
      <c r="O561" s="1705"/>
      <c r="P561" s="1706"/>
      <c r="Q561" s="1878"/>
      <c r="R561" s="1713"/>
      <c r="S561" s="1713"/>
      <c r="T561" s="1713"/>
      <c r="U561" s="1713"/>
      <c r="V561" s="1713"/>
      <c r="W561" s="1713"/>
      <c r="X561" s="1713"/>
      <c r="Y561" s="1679"/>
      <c r="Z561" s="1679"/>
      <c r="AA561" s="1713"/>
      <c r="AB561" s="1713"/>
      <c r="AC561" s="1679"/>
      <c r="AD561" s="1679"/>
      <c r="AE561" s="1756"/>
      <c r="AF561" s="1757"/>
      <c r="AN561" s="281"/>
      <c r="AP561"/>
      <c r="AQ561"/>
      <c r="AR561"/>
      <c r="AS561"/>
      <c r="AT561"/>
      <c r="AU561"/>
      <c r="AV561"/>
      <c r="AW561"/>
      <c r="AX561"/>
      <c r="AY561"/>
    </row>
    <row r="562" spans="1:96" s="4" customFormat="1" ht="12.75" customHeight="1">
      <c r="B562" s="63"/>
      <c r="I562" s="220"/>
      <c r="J562" s="162"/>
      <c r="N562" s="5"/>
      <c r="O562" s="1705"/>
      <c r="P562" s="1706"/>
      <c r="Q562" s="1878"/>
      <c r="R562" s="1713"/>
      <c r="S562" s="1713"/>
      <c r="T562" s="1713"/>
      <c r="U562" s="1713"/>
      <c r="V562" s="1713"/>
      <c r="W562" s="1713"/>
      <c r="X562" s="1713"/>
      <c r="Y562" s="1713"/>
      <c r="Z562" s="1713"/>
      <c r="AA562" s="1679"/>
      <c r="AB562" s="1679"/>
      <c r="AC562" s="1713"/>
      <c r="AD562" s="1713"/>
      <c r="AE562" s="1758"/>
      <c r="AF562" s="1759"/>
      <c r="AN562" s="281"/>
      <c r="AP562" s="153" t="s">
        <v>607</v>
      </c>
      <c r="AQ562" s="154"/>
      <c r="AR562" s="154"/>
      <c r="AS562" s="154"/>
      <c r="AT562" s="154"/>
      <c r="AU562" s="154"/>
      <c r="AV562" s="155"/>
      <c r="AW562" s="1867" t="str">
        <f>IF(AND(AND(AND(AND(AS542="passed",AU549="passed",BD558="passed",SUM(T609:X613)&gt;1)))),"YES","NO")</f>
        <v>YES</v>
      </c>
      <c r="AX562" s="1868"/>
      <c r="AY562" s="1869"/>
      <c r="AZ562" s="40"/>
      <c r="BA562" s="40"/>
      <c r="BB562" s="40"/>
      <c r="BC562" s="40"/>
      <c r="BD562" s="40"/>
      <c r="BE562" s="21"/>
      <c r="BF562" s="21"/>
      <c r="BG562" s="21"/>
    </row>
    <row r="563" spans="1:96" s="4" customFormat="1" ht="12.75" customHeight="1">
      <c r="B563" s="63"/>
      <c r="I563" s="220"/>
      <c r="J563" s="162"/>
      <c r="N563" s="5"/>
      <c r="O563" s="1705"/>
      <c r="P563" s="1706"/>
      <c r="Q563" s="1878"/>
      <c r="R563" s="1713"/>
      <c r="S563" s="1713"/>
      <c r="T563" s="1713"/>
      <c r="U563" s="1713"/>
      <c r="V563" s="1713"/>
      <c r="W563" s="1713"/>
      <c r="X563" s="1713"/>
      <c r="Y563" s="1679"/>
      <c r="Z563" s="1679"/>
      <c r="AA563" s="1713"/>
      <c r="AB563" s="1713"/>
      <c r="AC563" s="1679"/>
      <c r="AD563" s="1679"/>
      <c r="AE563" s="1756"/>
      <c r="AF563" s="1757"/>
      <c r="AN563" s="281"/>
    </row>
    <row r="564" spans="1:96" s="4" customFormat="1" ht="12.75" customHeight="1">
      <c r="B564" s="63"/>
      <c r="I564" s="220"/>
      <c r="J564" s="162"/>
      <c r="N564" s="5"/>
      <c r="O564" s="1705"/>
      <c r="P564" s="1706"/>
      <c r="Q564" s="1878"/>
      <c r="R564" s="1713"/>
      <c r="S564" s="1713"/>
      <c r="T564" s="1713"/>
      <c r="U564" s="1713"/>
      <c r="V564" s="1713"/>
      <c r="W564" s="1679"/>
      <c r="X564" s="1679"/>
      <c r="Y564" s="1713"/>
      <c r="Z564" s="1713"/>
      <c r="AA564" s="1679"/>
      <c r="AB564" s="1679"/>
      <c r="AC564" s="1713"/>
      <c r="AD564" s="1713"/>
      <c r="AE564" s="1758"/>
      <c r="AF564" s="1759"/>
      <c r="AN564" s="281"/>
    </row>
    <row r="565" spans="1:96" s="4" customFormat="1" ht="12.75" customHeight="1">
      <c r="B565" s="63"/>
      <c r="I565" s="220"/>
      <c r="J565" s="162"/>
      <c r="N565" s="5"/>
      <c r="O565" s="1705"/>
      <c r="P565" s="1706"/>
      <c r="Q565" s="1878"/>
      <c r="R565" s="1713"/>
      <c r="S565" s="1713"/>
      <c r="T565" s="1713"/>
      <c r="U565" s="1713"/>
      <c r="V565" s="1713"/>
      <c r="W565" s="1713"/>
      <c r="X565" s="1713"/>
      <c r="Y565" s="1679"/>
      <c r="Z565" s="1679"/>
      <c r="AA565" s="1713"/>
      <c r="AB565" s="1713"/>
      <c r="AC565" s="1679"/>
      <c r="AD565" s="1679"/>
      <c r="AE565" s="1756"/>
      <c r="AF565" s="1757"/>
      <c r="AN565" s="281"/>
      <c r="AU565" s="21"/>
      <c r="AV565" s="21"/>
      <c r="AW565" s="8"/>
      <c r="AX565" s="9"/>
      <c r="AY565" s="9"/>
      <c r="AZ565" s="60" t="s">
        <v>1126</v>
      </c>
      <c r="BA565" s="1847" t="s">
        <v>714</v>
      </c>
      <c r="BB565" s="1848"/>
      <c r="BC565" s="1848"/>
      <c r="BD565" s="1848"/>
      <c r="BE565" s="1849"/>
      <c r="BF565" s="1875">
        <f>SUM(O609:S613)</f>
        <v>63</v>
      </c>
      <c r="BG565" s="1876"/>
      <c r="BH565" s="1876"/>
      <c r="BI565" s="1876"/>
      <c r="BJ565" s="1877"/>
      <c r="BK565" s="1683">
        <f>SUM(T609:X613)</f>
        <v>15</v>
      </c>
      <c r="BL565" s="1684"/>
      <c r="BM565" s="1684"/>
      <c r="BN565" s="1684"/>
      <c r="BO565" s="1685"/>
    </row>
    <row r="566" spans="1:96" s="4" customFormat="1" ht="12.75" customHeight="1">
      <c r="B566" s="35"/>
      <c r="I566" s="1533" t="s">
        <v>1498</v>
      </c>
      <c r="J566" s="1534"/>
      <c r="K566" s="1534"/>
      <c r="L566" s="1534"/>
      <c r="M566" s="1534"/>
      <c r="N566" s="1535"/>
      <c r="O566" s="1705">
        <v>0.5</v>
      </c>
      <c r="P566" s="1706"/>
      <c r="Q566" s="1918"/>
      <c r="R566" s="1755"/>
      <c r="S566" s="1713"/>
      <c r="T566" s="1713"/>
      <c r="U566" s="1899" t="s">
        <v>1502</v>
      </c>
      <c r="V566" s="1899"/>
      <c r="W566" s="1892">
        <v>37.5</v>
      </c>
      <c r="X566" s="1892"/>
      <c r="Y566" s="1755"/>
      <c r="Z566" s="1755"/>
      <c r="AA566" s="1892"/>
      <c r="AB566" s="1892"/>
      <c r="AC566" s="1755"/>
      <c r="AD566" s="1755"/>
      <c r="AE566" s="1872"/>
      <c r="AF566" s="1873"/>
      <c r="AN566" s="281"/>
      <c r="CL566"/>
      <c r="CM566"/>
    </row>
    <row r="567" spans="1:96" s="4" customFormat="1" ht="12.75" customHeight="1">
      <c r="B567" s="120"/>
      <c r="C567" s="61"/>
      <c r="I567" s="1533"/>
      <c r="J567" s="1534"/>
      <c r="K567" s="1534"/>
      <c r="L567" s="1534"/>
      <c r="M567" s="1534"/>
      <c r="N567" s="1535"/>
      <c r="O567" s="1705">
        <v>0.45</v>
      </c>
      <c r="P567" s="1706"/>
      <c r="Q567" s="1878"/>
      <c r="R567" s="1713"/>
      <c r="S567" s="1713"/>
      <c r="T567" s="1713"/>
      <c r="U567" s="1678" t="s">
        <v>130</v>
      </c>
      <c r="V567" s="1678"/>
      <c r="W567" s="1679">
        <v>33.799999999999997</v>
      </c>
      <c r="X567" s="1679"/>
      <c r="Y567" s="1679"/>
      <c r="Z567" s="1679"/>
      <c r="AA567" s="1713"/>
      <c r="AB567" s="1713"/>
      <c r="AC567" s="1679"/>
      <c r="AD567" s="1679"/>
      <c r="AE567" s="1756"/>
      <c r="AF567" s="1757"/>
      <c r="AN567" s="281"/>
      <c r="CL567"/>
      <c r="CM567"/>
    </row>
    <row r="568" spans="1:96" s="4" customFormat="1" ht="12.75" customHeight="1">
      <c r="B568" s="5"/>
      <c r="C568" s="5"/>
      <c r="D568" s="5"/>
      <c r="E568" s="5"/>
      <c r="I568" s="1533"/>
      <c r="J568" s="1534"/>
      <c r="K568" s="1534"/>
      <c r="L568" s="1534"/>
      <c r="M568" s="1534"/>
      <c r="N568" s="1535"/>
      <c r="O568" s="1705">
        <v>0.4</v>
      </c>
      <c r="P568" s="1706"/>
      <c r="Q568" s="1878"/>
      <c r="R568" s="1713"/>
      <c r="S568" s="1678" t="s">
        <v>1501</v>
      </c>
      <c r="T568" s="1678"/>
      <c r="U568" s="1679">
        <v>20</v>
      </c>
      <c r="V568" s="1679"/>
      <c r="W568" s="1679">
        <v>30</v>
      </c>
      <c r="X568" s="1679"/>
      <c r="Y568" s="1679"/>
      <c r="Z568" s="1679"/>
      <c r="AA568" s="1679"/>
      <c r="AB568" s="1679"/>
      <c r="AC568" s="1679"/>
      <c r="AD568" s="1679"/>
      <c r="AE568" s="1756"/>
      <c r="AF568" s="1757"/>
      <c r="AN568" s="281"/>
      <c r="AP568" s="1782" t="s">
        <v>205</v>
      </c>
      <c r="AQ568" s="1783"/>
      <c r="AR568" s="1783"/>
      <c r="AS568" s="1783"/>
      <c r="AT568" s="1783"/>
      <c r="AU568" s="1783"/>
      <c r="AV568" s="1783"/>
      <c r="AW568" s="1783"/>
      <c r="AX568" s="1783"/>
      <c r="AY568" s="1783"/>
      <c r="AZ568" s="1783"/>
      <c r="BA568" s="1783"/>
      <c r="BB568" s="1783"/>
      <c r="BC568" s="1783"/>
      <c r="BD568" s="1783"/>
      <c r="BE568" s="1783"/>
      <c r="BF568" s="1783"/>
      <c r="BG568" s="1783"/>
      <c r="BH568" s="1783"/>
      <c r="BI568" s="1783"/>
      <c r="BJ568" s="1784"/>
      <c r="BK568" s="1856">
        <f>BF565</f>
        <v>63</v>
      </c>
      <c r="BL568" s="1857"/>
      <c r="BM568" s="1857"/>
      <c r="BN568" s="1857"/>
      <c r="BO568" s="185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33"/>
      <c r="J569" s="1534"/>
      <c r="K569" s="1534"/>
      <c r="L569" s="1534"/>
      <c r="M569" s="1534"/>
      <c r="N569" s="1535"/>
      <c r="O569" s="1705">
        <v>0.35</v>
      </c>
      <c r="P569" s="1706"/>
      <c r="Q569" s="1878"/>
      <c r="R569" s="1713"/>
      <c r="S569" s="1678" t="s">
        <v>1762</v>
      </c>
      <c r="T569" s="1678"/>
      <c r="U569" s="1679">
        <v>17.5</v>
      </c>
      <c r="V569" s="1679"/>
      <c r="W569" s="1679">
        <v>26.3</v>
      </c>
      <c r="X569" s="1679"/>
      <c r="Y569" s="1679">
        <v>35</v>
      </c>
      <c r="Z569" s="1679"/>
      <c r="AA569" s="1679"/>
      <c r="AB569" s="1679"/>
      <c r="AC569" s="1679">
        <v>50</v>
      </c>
      <c r="AD569" s="1679"/>
      <c r="AE569" s="1756"/>
      <c r="AF569" s="1757"/>
      <c r="AN569" s="281"/>
      <c r="AP569" s="1785"/>
      <c r="AQ569" s="1786"/>
      <c r="AR569" s="1786"/>
      <c r="AS569" s="1786"/>
      <c r="AT569" s="1786"/>
      <c r="AU569" s="1786"/>
      <c r="AV569" s="1786"/>
      <c r="AW569" s="1786"/>
      <c r="AX569" s="1786"/>
      <c r="AY569" s="1786"/>
      <c r="AZ569" s="1786"/>
      <c r="BA569" s="1786"/>
      <c r="BB569" s="1786"/>
      <c r="BC569" s="1786"/>
      <c r="BD569" s="1786"/>
      <c r="BE569" s="1786"/>
      <c r="BF569" s="1786"/>
      <c r="BG569" s="1786"/>
      <c r="BH569" s="1786"/>
      <c r="BI569" s="1786"/>
      <c r="BJ569" s="1787"/>
      <c r="BK569" s="1859"/>
      <c r="BL569" s="1860"/>
      <c r="BM569" s="1860"/>
      <c r="BN569" s="1860"/>
      <c r="BO569" s="186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33"/>
      <c r="J570" s="1534"/>
      <c r="K570" s="1534"/>
      <c r="L570" s="1534"/>
      <c r="M570" s="1534"/>
      <c r="N570" s="1535"/>
      <c r="O570" s="1705">
        <v>0.3</v>
      </c>
      <c r="P570" s="1706"/>
      <c r="Q570" s="1878"/>
      <c r="R570" s="1713"/>
      <c r="S570" s="1678" t="s">
        <v>1763</v>
      </c>
      <c r="T570" s="1678"/>
      <c r="U570" s="1679">
        <v>15</v>
      </c>
      <c r="V570" s="1679"/>
      <c r="W570" s="1679">
        <v>22.5</v>
      </c>
      <c r="X570" s="1679"/>
      <c r="Y570" s="1679">
        <v>30</v>
      </c>
      <c r="Z570" s="1679"/>
      <c r="AA570" s="1679">
        <v>37.5</v>
      </c>
      <c r="AB570" s="1679"/>
      <c r="AC570" s="1679">
        <v>45</v>
      </c>
      <c r="AD570" s="1679"/>
      <c r="AE570" s="1756"/>
      <c r="AF570" s="175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12">
        <v>5</v>
      </c>
      <c r="BK570" s="1213"/>
      <c r="BL570" s="1213"/>
      <c r="BM570" s="1213"/>
      <c r="BN570" s="1214"/>
      <c r="BO570" s="1212">
        <v>4</v>
      </c>
      <c r="BP570" s="1213"/>
      <c r="BQ570" s="1213"/>
      <c r="BR570" s="1213"/>
      <c r="BS570" s="1214"/>
      <c r="BT570" s="1212">
        <v>3</v>
      </c>
      <c r="BU570" s="1213"/>
      <c r="BV570" s="1213"/>
      <c r="BW570" s="1213"/>
      <c r="BX570" s="1214"/>
      <c r="BY570" s="1212">
        <v>2</v>
      </c>
      <c r="BZ570" s="1213"/>
      <c r="CA570" s="1213"/>
      <c r="CB570" s="1213"/>
      <c r="CC570" s="1214"/>
      <c r="CD570" s="1212">
        <v>1</v>
      </c>
      <c r="CE570" s="1213"/>
      <c r="CF570" s="1213"/>
      <c r="CG570" s="1213"/>
      <c r="CH570" s="1214"/>
      <c r="CI570" s="1212">
        <v>0</v>
      </c>
      <c r="CJ570" s="1213"/>
      <c r="CK570" s="1213"/>
      <c r="CL570" s="1213"/>
      <c r="CM570" s="1214"/>
      <c r="CN570" s="21"/>
      <c r="CO570" s="21"/>
      <c r="CP570" s="21"/>
      <c r="CQ570" s="21"/>
      <c r="CR570" s="21"/>
    </row>
    <row r="571" spans="1:96" s="4" customFormat="1" ht="12.75" customHeight="1">
      <c r="B571" s="5"/>
      <c r="C571" s="5"/>
      <c r="D571" s="5"/>
      <c r="E571" s="5"/>
      <c r="I571" s="1533"/>
      <c r="J571" s="1534"/>
      <c r="K571" s="1534"/>
      <c r="L571" s="1534"/>
      <c r="M571" s="1534"/>
      <c r="N571" s="1535"/>
      <c r="O571" s="1705">
        <v>0.25</v>
      </c>
      <c r="P571" s="1706"/>
      <c r="Q571" s="1878"/>
      <c r="R571" s="1713"/>
      <c r="S571" s="1678" t="s">
        <v>1764</v>
      </c>
      <c r="T571" s="1678"/>
      <c r="U571" s="1679">
        <v>12.5</v>
      </c>
      <c r="V571" s="1679"/>
      <c r="W571" s="1679">
        <v>18.8</v>
      </c>
      <c r="X571" s="1679"/>
      <c r="Y571" s="1679">
        <v>25</v>
      </c>
      <c r="Z571" s="1679"/>
      <c r="AA571" s="1679">
        <v>31.3</v>
      </c>
      <c r="AB571" s="1679"/>
      <c r="AC571" s="1679">
        <v>37.5</v>
      </c>
      <c r="AD571" s="1679"/>
      <c r="AE571" s="1756">
        <v>50</v>
      </c>
      <c r="AF571" s="1757"/>
      <c r="AN571" s="281"/>
      <c r="AP571" s="1852" t="str">
        <f t="shared" ref="AP571:AP577" si="0">J608</f>
        <v>5 BR</v>
      </c>
      <c r="AQ571" s="1853"/>
      <c r="AR571" s="1853"/>
      <c r="AS571" s="1853"/>
      <c r="AT571" s="1854"/>
      <c r="AU571" s="1216">
        <f t="shared" ref="AU571:AU576" si="1">O608</f>
        <v>0</v>
      </c>
      <c r="AV571" s="1217"/>
      <c r="AW571" s="1217"/>
      <c r="AX571" s="1217"/>
      <c r="AY571" s="1218"/>
      <c r="AZ571" s="1216">
        <f t="shared" ref="AZ571:AZ576" si="2">T608</f>
        <v>0</v>
      </c>
      <c r="BA571" s="1217"/>
      <c r="BB571" s="1217"/>
      <c r="BC571" s="1217"/>
      <c r="BD571" s="1218"/>
      <c r="BE571" s="1844">
        <f t="shared" ref="BE571:BE576" si="3">Y608</f>
        <v>0</v>
      </c>
      <c r="BF571" s="1845"/>
      <c r="BG571" s="1845"/>
      <c r="BH571" s="1845"/>
      <c r="BI571" s="1846"/>
      <c r="BJ571" s="1212">
        <f>IF(OR(AP581=0,BE571&gt;=0.1),0,1)</f>
        <v>0</v>
      </c>
      <c r="BK571" s="1213"/>
      <c r="BL571" s="1213"/>
      <c r="BM571" s="1213"/>
      <c r="BN571" s="1214"/>
      <c r="BO571" s="1212"/>
      <c r="BP571" s="1213"/>
      <c r="BQ571" s="1213"/>
      <c r="BR571" s="1213"/>
      <c r="BS571" s="1214"/>
      <c r="BT571" s="1212"/>
      <c r="BU571" s="1213"/>
      <c r="BV571" s="1213"/>
      <c r="BW571" s="1213"/>
      <c r="BX571" s="1214"/>
      <c r="BY571" s="1212"/>
      <c r="BZ571" s="1213"/>
      <c r="CA571" s="1213"/>
      <c r="CB571" s="1213"/>
      <c r="CC571" s="1214"/>
      <c r="CD571" s="1212"/>
      <c r="CE571" s="1213"/>
      <c r="CF571" s="1213"/>
      <c r="CG571" s="1213"/>
      <c r="CH571" s="1214"/>
      <c r="CI571" s="1212"/>
      <c r="CJ571" s="1213"/>
      <c r="CK571" s="1213"/>
      <c r="CL571" s="1213"/>
      <c r="CM571" s="1214"/>
      <c r="CN571" s="21"/>
      <c r="CO571" s="21"/>
      <c r="CP571" s="21"/>
      <c r="CQ571" s="21"/>
      <c r="CR571" s="21"/>
    </row>
    <row r="572" spans="1:96" s="4" customFormat="1" ht="12.75" customHeight="1">
      <c r="A572" s="120"/>
      <c r="B572" s="5"/>
      <c r="C572" s="5"/>
      <c r="D572" s="5"/>
      <c r="E572" s="5"/>
      <c r="I572" s="1533"/>
      <c r="J572" s="1534"/>
      <c r="K572" s="1534"/>
      <c r="L572" s="1534"/>
      <c r="M572" s="1534"/>
      <c r="N572" s="1535"/>
      <c r="O572" s="1705">
        <v>0.2</v>
      </c>
      <c r="P572" s="1706"/>
      <c r="Q572" s="1878"/>
      <c r="R572" s="1713"/>
      <c r="S572" s="1904" t="s">
        <v>1767</v>
      </c>
      <c r="T572" s="1904"/>
      <c r="U572" s="1679">
        <v>10</v>
      </c>
      <c r="V572" s="1679"/>
      <c r="W572" s="1679">
        <v>15</v>
      </c>
      <c r="X572" s="1679"/>
      <c r="Y572" s="1679">
        <v>20</v>
      </c>
      <c r="Z572" s="1679"/>
      <c r="AA572" s="1679">
        <v>25</v>
      </c>
      <c r="AB572" s="1679"/>
      <c r="AC572" s="1679">
        <v>30</v>
      </c>
      <c r="AD572" s="1679"/>
      <c r="AE572" s="1756">
        <v>40</v>
      </c>
      <c r="AF572" s="1757"/>
      <c r="AN572" s="281"/>
      <c r="AP572" s="1852" t="str">
        <f t="shared" si="0"/>
        <v>4 BR</v>
      </c>
      <c r="AQ572" s="1853"/>
      <c r="AR572" s="1853"/>
      <c r="AS572" s="1853"/>
      <c r="AT572" s="1854"/>
      <c r="AU572" s="1216">
        <f t="shared" si="1"/>
        <v>0</v>
      </c>
      <c r="AV572" s="1217"/>
      <c r="AW572" s="1217"/>
      <c r="AX572" s="1217"/>
      <c r="AY572" s="1218"/>
      <c r="AZ572" s="1216">
        <f t="shared" si="2"/>
        <v>0</v>
      </c>
      <c r="BA572" s="1217"/>
      <c r="BB572" s="1217"/>
      <c r="BC572" s="1217"/>
      <c r="BD572" s="1218"/>
      <c r="BE572" s="1844">
        <f t="shared" si="3"/>
        <v>0</v>
      </c>
      <c r="BF572" s="1845"/>
      <c r="BG572" s="1845"/>
      <c r="BH572" s="1845"/>
      <c r="BI572" s="1846"/>
      <c r="BJ572" s="1212"/>
      <c r="BK572" s="1213"/>
      <c r="BL572" s="1213"/>
      <c r="BM572" s="1213"/>
      <c r="BN572" s="1214"/>
      <c r="BO572" s="1212">
        <f>IF(AND(AND(AZ571=0,BJ571=0,AP582=1)),1,0)</f>
        <v>0</v>
      </c>
      <c r="BP572" s="1213"/>
      <c r="BQ572" s="1213"/>
      <c r="BR572" s="1213"/>
      <c r="BS572" s="1214"/>
      <c r="BT572" s="1212"/>
      <c r="BU572" s="1213"/>
      <c r="BV572" s="1213"/>
      <c r="BW572" s="1213"/>
      <c r="BX572" s="1214"/>
      <c r="BY572" s="1212"/>
      <c r="BZ572" s="1213"/>
      <c r="CA572" s="1213"/>
      <c r="CB572" s="1213"/>
      <c r="CC572" s="1214"/>
      <c r="CD572" s="1212"/>
      <c r="CE572" s="1213"/>
      <c r="CF572" s="1213"/>
      <c r="CG572" s="1213"/>
      <c r="CH572" s="1214"/>
      <c r="CI572" s="1212"/>
      <c r="CJ572" s="1213"/>
      <c r="CK572" s="1213"/>
      <c r="CL572" s="1213"/>
      <c r="CM572" s="1214"/>
      <c r="CN572" s="21"/>
      <c r="CO572" s="21"/>
      <c r="CP572" s="21"/>
      <c r="CQ572" s="21"/>
      <c r="CR572" s="21"/>
    </row>
    <row r="573" spans="1:96" s="4" customFormat="1" ht="12.75" customHeight="1">
      <c r="A573" s="120"/>
      <c r="B573" s="5"/>
      <c r="C573" s="5"/>
      <c r="D573" s="5"/>
      <c r="E573" s="5"/>
      <c r="I573" s="1533"/>
      <c r="J573" s="1534"/>
      <c r="K573" s="1534"/>
      <c r="L573" s="1534"/>
      <c r="M573" s="1534"/>
      <c r="N573" s="1535"/>
      <c r="O573" s="1705">
        <v>0.15</v>
      </c>
      <c r="P573" s="1706"/>
      <c r="Q573" s="1878"/>
      <c r="R573" s="1713"/>
      <c r="S573" s="1678" t="s">
        <v>1765</v>
      </c>
      <c r="T573" s="1678"/>
      <c r="U573" s="1679">
        <v>7.5</v>
      </c>
      <c r="V573" s="1679"/>
      <c r="W573" s="1679">
        <v>11.3</v>
      </c>
      <c r="X573" s="1679"/>
      <c r="Y573" s="1679">
        <v>15</v>
      </c>
      <c r="Z573" s="1679"/>
      <c r="AA573" s="1679">
        <v>18.8</v>
      </c>
      <c r="AB573" s="1679"/>
      <c r="AC573" s="1679">
        <v>22.5</v>
      </c>
      <c r="AD573" s="1679"/>
      <c r="AE573" s="1756">
        <v>30</v>
      </c>
      <c r="AF573" s="1757"/>
      <c r="AN573" s="281"/>
      <c r="AP573" s="1852" t="str">
        <f t="shared" si="0"/>
        <v>3 BR</v>
      </c>
      <c r="AQ573" s="1853"/>
      <c r="AR573" s="1853"/>
      <c r="AS573" s="1853"/>
      <c r="AT573" s="1854"/>
      <c r="AU573" s="1216">
        <f t="shared" si="1"/>
        <v>32</v>
      </c>
      <c r="AV573" s="1217"/>
      <c r="AW573" s="1217"/>
      <c r="AX573" s="1217"/>
      <c r="AY573" s="1218"/>
      <c r="AZ573" s="1216">
        <f t="shared" si="2"/>
        <v>8</v>
      </c>
      <c r="BA573" s="1217"/>
      <c r="BB573" s="1217"/>
      <c r="BC573" s="1217"/>
      <c r="BD573" s="1218"/>
      <c r="BE573" s="1844">
        <f t="shared" si="3"/>
        <v>0.25</v>
      </c>
      <c r="BF573" s="1845"/>
      <c r="BG573" s="1845"/>
      <c r="BH573" s="1845"/>
      <c r="BI573" s="1846"/>
      <c r="BJ573" s="1212"/>
      <c r="BK573" s="1213"/>
      <c r="BL573" s="1213"/>
      <c r="BM573" s="1213"/>
      <c r="BN573" s="1214"/>
      <c r="BO573" s="1212"/>
      <c r="BP573" s="1213"/>
      <c r="BQ573" s="1213"/>
      <c r="BR573" s="1213"/>
      <c r="BS573" s="1214"/>
      <c r="BT573" s="1212">
        <f>IF(AND(AND(AZ571+AZ572=0,BJ571+BO572=0,AP583=1)),1,0)</f>
        <v>0</v>
      </c>
      <c r="BU573" s="1213"/>
      <c r="BV573" s="1213"/>
      <c r="BW573" s="1213"/>
      <c r="BX573" s="1214"/>
      <c r="BY573" s="1212"/>
      <c r="BZ573" s="1213"/>
      <c r="CA573" s="1213"/>
      <c r="CB573" s="1213"/>
      <c r="CC573" s="1214"/>
      <c r="CD573" s="1212"/>
      <c r="CE573" s="1213"/>
      <c r="CF573" s="1213"/>
      <c r="CG573" s="1213"/>
      <c r="CH573" s="1214"/>
      <c r="CI573" s="1212"/>
      <c r="CJ573" s="1213"/>
      <c r="CK573" s="1213"/>
      <c r="CL573" s="1213"/>
      <c r="CM573" s="1214"/>
      <c r="CN573" s="21"/>
      <c r="CO573" s="21"/>
      <c r="CP573" s="21"/>
      <c r="CQ573" s="21"/>
      <c r="CR573" s="21"/>
    </row>
    <row r="574" spans="1:96" s="4" customFormat="1" ht="12.75" customHeight="1" thickBot="1">
      <c r="B574" s="5"/>
      <c r="C574" s="5"/>
      <c r="D574" s="5"/>
      <c r="E574" s="5"/>
      <c r="I574" s="1536"/>
      <c r="J574" s="1537"/>
      <c r="K574" s="1537"/>
      <c r="L574" s="1537"/>
      <c r="M574" s="1537"/>
      <c r="N574" s="1538"/>
      <c r="O574" s="1705">
        <v>0.1</v>
      </c>
      <c r="P574" s="1706"/>
      <c r="Q574" s="1902"/>
      <c r="R574" s="1903"/>
      <c r="S574" s="1678" t="s">
        <v>1766</v>
      </c>
      <c r="T574" s="1678"/>
      <c r="U574" s="1766">
        <v>5</v>
      </c>
      <c r="V574" s="1766"/>
      <c r="W574" s="1766">
        <v>7.5</v>
      </c>
      <c r="X574" s="1766"/>
      <c r="Y574" s="1766">
        <v>10</v>
      </c>
      <c r="Z574" s="1766"/>
      <c r="AA574" s="1766">
        <v>12.5</v>
      </c>
      <c r="AB574" s="1766"/>
      <c r="AC574" s="1766">
        <v>15</v>
      </c>
      <c r="AD574" s="1766"/>
      <c r="AE574" s="1696">
        <v>20</v>
      </c>
      <c r="AF574" s="1697"/>
      <c r="AK574" s="167"/>
      <c r="AL574" s="167"/>
      <c r="AM574" s="5"/>
      <c r="AN574" s="281"/>
      <c r="AP574" s="1852" t="str">
        <f t="shared" si="0"/>
        <v>2 BR</v>
      </c>
      <c r="AQ574" s="1853"/>
      <c r="AR574" s="1853"/>
      <c r="AS574" s="1853"/>
      <c r="AT574" s="1854"/>
      <c r="AU574" s="1216">
        <f t="shared" si="1"/>
        <v>31</v>
      </c>
      <c r="AV574" s="1217"/>
      <c r="AW574" s="1217"/>
      <c r="AX574" s="1217"/>
      <c r="AY574" s="1218"/>
      <c r="AZ574" s="1216">
        <f t="shared" si="2"/>
        <v>7</v>
      </c>
      <c r="BA574" s="1217"/>
      <c r="BB574" s="1217"/>
      <c r="BC574" s="1217"/>
      <c r="BD574" s="1218"/>
      <c r="BE574" s="1844">
        <f t="shared" si="3"/>
        <v>0.22580645161290322</v>
      </c>
      <c r="BF574" s="1845"/>
      <c r="BG574" s="1845"/>
      <c r="BH574" s="1845"/>
      <c r="BI574" s="1846"/>
      <c r="BJ574" s="1212"/>
      <c r="BK574" s="1213"/>
      <c r="BL574" s="1213"/>
      <c r="BM574" s="1213"/>
      <c r="BN574" s="1214"/>
      <c r="BO574" s="1212"/>
      <c r="BP574" s="1213"/>
      <c r="BQ574" s="1213"/>
      <c r="BR574" s="1213"/>
      <c r="BS574" s="1214"/>
      <c r="BT574" s="1212"/>
      <c r="BU574" s="1213"/>
      <c r="BV574" s="1213"/>
      <c r="BW574" s="1213"/>
      <c r="BX574" s="1214"/>
      <c r="BY574" s="1212">
        <f>IF(AND(AND(AZ571+AZ572+AZ573=0,BO572+BT573+BJ571=0,AP584=1)),1,0)</f>
        <v>0</v>
      </c>
      <c r="BZ574" s="1213"/>
      <c r="CA574" s="1213"/>
      <c r="CB574" s="1213"/>
      <c r="CC574" s="1214"/>
      <c r="CD574" s="1212"/>
      <c r="CE574" s="1213"/>
      <c r="CF574" s="1213"/>
      <c r="CG574" s="1213"/>
      <c r="CH574" s="1214"/>
      <c r="CI574" s="1212"/>
      <c r="CJ574" s="1213"/>
      <c r="CK574" s="1213"/>
      <c r="CL574" s="1213"/>
      <c r="CM574" s="1214"/>
      <c r="CN574" s="21"/>
      <c r="CO574" s="21"/>
      <c r="CP574" s="21"/>
      <c r="CQ574" s="21"/>
      <c r="CR574" s="21"/>
    </row>
    <row r="575" spans="1:96" s="4" customFormat="1" ht="12.75" customHeight="1">
      <c r="B575" s="5"/>
      <c r="C575" s="5"/>
      <c r="D575" s="5"/>
      <c r="E575" s="1578" t="s">
        <v>939</v>
      </c>
      <c r="F575" s="1574"/>
      <c r="G575" s="1574"/>
      <c r="H575" s="1574"/>
      <c r="I575" s="1574"/>
      <c r="J575" s="1574"/>
      <c r="K575" s="1574"/>
      <c r="L575" s="1574"/>
      <c r="M575" s="1574"/>
      <c r="N575" s="1574"/>
      <c r="O575" s="1574"/>
      <c r="P575" s="1574"/>
      <c r="Q575" s="1574"/>
      <c r="R575" s="1574"/>
      <c r="S575" s="1574"/>
      <c r="T575" s="1574"/>
      <c r="U575" s="1574"/>
      <c r="V575" s="1574"/>
      <c r="W575" s="1574"/>
      <c r="X575" s="1574"/>
      <c r="Y575" s="1574"/>
      <c r="Z575" s="1574"/>
      <c r="AA575" s="1574"/>
      <c r="AB575" s="1574"/>
      <c r="AC575" s="1574"/>
      <c r="AD575" s="1574"/>
      <c r="AE575" s="1574"/>
      <c r="AF575" s="1574"/>
      <c r="AG575" s="1574"/>
      <c r="AH575" s="1575"/>
      <c r="AK575" s="167"/>
      <c r="AL575" s="167"/>
      <c r="AM575" s="5"/>
      <c r="AN575" s="281"/>
      <c r="AP575" s="1852" t="str">
        <f t="shared" si="0"/>
        <v>1 BR</v>
      </c>
      <c r="AQ575" s="1853"/>
      <c r="AR575" s="1853"/>
      <c r="AS575" s="1853"/>
      <c r="AT575" s="1854"/>
      <c r="AU575" s="1216">
        <f t="shared" si="1"/>
        <v>0</v>
      </c>
      <c r="AV575" s="1217"/>
      <c r="AW575" s="1217"/>
      <c r="AX575" s="1217"/>
      <c r="AY575" s="1218"/>
      <c r="AZ575" s="1216">
        <f t="shared" si="2"/>
        <v>0</v>
      </c>
      <c r="BA575" s="1217"/>
      <c r="BB575" s="1217"/>
      <c r="BC575" s="1217"/>
      <c r="BD575" s="1218"/>
      <c r="BE575" s="1844">
        <f t="shared" si="3"/>
        <v>0</v>
      </c>
      <c r="BF575" s="1845"/>
      <c r="BG575" s="1845"/>
      <c r="BH575" s="1845"/>
      <c r="BI575" s="1846"/>
      <c r="BJ575" s="1212"/>
      <c r="BK575" s="1213"/>
      <c r="BL575" s="1213"/>
      <c r="BM575" s="1213"/>
      <c r="BN575" s="1214"/>
      <c r="BO575" s="1212"/>
      <c r="BP575" s="1213"/>
      <c r="BQ575" s="1213"/>
      <c r="BR575" s="1213"/>
      <c r="BS575" s="1214"/>
      <c r="BT575" s="1212"/>
      <c r="BU575" s="1213"/>
      <c r="BV575" s="1213"/>
      <c r="BW575" s="1213"/>
      <c r="BX575" s="1214"/>
      <c r="BY575" s="1212"/>
      <c r="BZ575" s="1213"/>
      <c r="CA575" s="1213"/>
      <c r="CB575" s="1213"/>
      <c r="CC575" s="1214"/>
      <c r="CD575" s="1212">
        <f>IF(AND(AND(BE572+BE573+BE574+BE571=0,BT573+BY574+BO572+BJ571=0,AP585=1)),1,0)</f>
        <v>0</v>
      </c>
      <c r="CE575" s="1213"/>
      <c r="CF575" s="1213"/>
      <c r="CG575" s="1213"/>
      <c r="CH575" s="1214"/>
      <c r="CI575" s="1212"/>
      <c r="CJ575" s="1213"/>
      <c r="CK575" s="1213"/>
      <c r="CL575" s="1213"/>
      <c r="CM575" s="1214"/>
      <c r="CN575" s="21"/>
      <c r="CO575" s="21"/>
      <c r="CP575" s="21"/>
      <c r="CQ575" s="21"/>
      <c r="CR575" s="21"/>
    </row>
    <row r="576" spans="1:96" s="4" customFormat="1" ht="12.75" customHeight="1">
      <c r="E576" s="1770"/>
      <c r="F576" s="1265"/>
      <c r="G576" s="1265"/>
      <c r="H576" s="1265"/>
      <c r="I576" s="1265"/>
      <c r="J576" s="1265"/>
      <c r="K576" s="1265"/>
      <c r="L576" s="1265"/>
      <c r="M576" s="1265"/>
      <c r="N576" s="1265"/>
      <c r="O576" s="1265"/>
      <c r="P576" s="1265"/>
      <c r="Q576" s="1265"/>
      <c r="R576" s="1265"/>
      <c r="S576" s="1265"/>
      <c r="T576" s="1265"/>
      <c r="U576" s="1265"/>
      <c r="V576" s="1265"/>
      <c r="W576" s="1265"/>
      <c r="X576" s="1265"/>
      <c r="Y576" s="1265"/>
      <c r="Z576" s="1265"/>
      <c r="AA576" s="1265"/>
      <c r="AB576" s="1265"/>
      <c r="AC576" s="1265"/>
      <c r="AD576" s="1265"/>
      <c r="AE576" s="1265"/>
      <c r="AF576" s="1265"/>
      <c r="AG576" s="1265"/>
      <c r="AH576" s="1771"/>
      <c r="AN576" s="281"/>
      <c r="AP576" s="1852" t="str">
        <f t="shared" si="0"/>
        <v>SRO</v>
      </c>
      <c r="AQ576" s="1853"/>
      <c r="AR576" s="1853"/>
      <c r="AS576" s="1853"/>
      <c r="AT576" s="1854"/>
      <c r="AU576" s="1216">
        <f t="shared" si="1"/>
        <v>0</v>
      </c>
      <c r="AV576" s="1217"/>
      <c r="AW576" s="1217"/>
      <c r="AX576" s="1217"/>
      <c r="AY576" s="1218"/>
      <c r="AZ576" s="1216">
        <f t="shared" si="2"/>
        <v>0</v>
      </c>
      <c r="BA576" s="1217"/>
      <c r="BB576" s="1217"/>
      <c r="BC576" s="1217"/>
      <c r="BD576" s="1218"/>
      <c r="BE576" s="1844">
        <f t="shared" si="3"/>
        <v>0</v>
      </c>
      <c r="BF576" s="1845"/>
      <c r="BG576" s="1845"/>
      <c r="BH576" s="1845"/>
      <c r="BI576" s="1846"/>
      <c r="BJ576" s="1212"/>
      <c r="BK576" s="1213"/>
      <c r="BL576" s="1213"/>
      <c r="BM576" s="1213"/>
      <c r="BN576" s="1214"/>
      <c r="BO576" s="1212"/>
      <c r="BP576" s="1213"/>
      <c r="BQ576" s="1213"/>
      <c r="BR576" s="1213"/>
      <c r="BS576" s="1214"/>
      <c r="BT576" s="1212"/>
      <c r="BU576" s="1213"/>
      <c r="BV576" s="1213"/>
      <c r="BW576" s="1213"/>
      <c r="BX576" s="1214"/>
      <c r="BY576" s="1212"/>
      <c r="BZ576" s="1213"/>
      <c r="CA576" s="1213"/>
      <c r="CB576" s="1213"/>
      <c r="CC576" s="1214"/>
      <c r="CD576" s="1212"/>
      <c r="CE576" s="1213"/>
      <c r="CF576" s="1213"/>
      <c r="CG576" s="1213"/>
      <c r="CH576" s="1214"/>
      <c r="CI576" s="1212">
        <f>IF(AND(AND(AZ573+AZ574+AZ575+AZ572+AZ571=0,BY574+CD575+BT573+BO572+BJ571=0,AP586=1)),1,0)</f>
        <v>0</v>
      </c>
      <c r="CJ576" s="1213"/>
      <c r="CK576" s="1213"/>
      <c r="CL576" s="1213"/>
      <c r="CM576" s="1214"/>
      <c r="CN576" s="21"/>
      <c r="CO576" s="21"/>
      <c r="CP576" s="21"/>
      <c r="CQ576" s="21"/>
      <c r="CR576" s="21"/>
    </row>
    <row r="577" spans="5:96" s="4" customFormat="1" ht="12.75" customHeight="1">
      <c r="E577" s="1686" t="s">
        <v>1508</v>
      </c>
      <c r="F577" s="1687"/>
      <c r="G577" s="1687"/>
      <c r="H577" s="1687"/>
      <c r="I577" s="1687"/>
      <c r="J577" s="1688"/>
      <c r="K577" s="1686" t="s">
        <v>1758</v>
      </c>
      <c r="L577" s="1687"/>
      <c r="M577" s="1687"/>
      <c r="N577" s="1687"/>
      <c r="O577" s="1687"/>
      <c r="P577" s="1688"/>
      <c r="Q577" s="1530" t="s">
        <v>1504</v>
      </c>
      <c r="R577" s="1531"/>
      <c r="S577" s="1531"/>
      <c r="T577" s="1531"/>
      <c r="U577" s="1531"/>
      <c r="V577" s="1532"/>
      <c r="W577" s="1530" t="str">
        <f>I566</f>
        <v>Percent of Low-Income Units (exclusive of manager’s units)</v>
      </c>
      <c r="X577" s="1531"/>
      <c r="Y577" s="1531"/>
      <c r="Z577" s="1531"/>
      <c r="AA577" s="1531"/>
      <c r="AB577" s="1532"/>
      <c r="AC577" s="1530" t="s">
        <v>1507</v>
      </c>
      <c r="AD577" s="1531"/>
      <c r="AE577" s="1531"/>
      <c r="AF577" s="1531"/>
      <c r="AG577" s="1531"/>
      <c r="AH577" s="1532"/>
      <c r="AN577" s="281"/>
      <c r="AP577" s="1852" t="str">
        <f t="shared" si="0"/>
        <v>Total:</v>
      </c>
      <c r="AQ577" s="1853"/>
      <c r="AR577" s="1853"/>
      <c r="AS577" s="1853"/>
      <c r="AT577" s="1854"/>
      <c r="AU577" s="1852"/>
      <c r="AV577" s="1853"/>
      <c r="AW577" s="1853"/>
      <c r="AX577" s="1853"/>
      <c r="AY577" s="1854"/>
      <c r="AZ577" s="1852"/>
      <c r="BA577" s="1853"/>
      <c r="BB577" s="1853"/>
      <c r="BC577" s="1853"/>
      <c r="BD577" s="1854"/>
      <c r="BE577" s="1852"/>
      <c r="BF577" s="1853"/>
      <c r="BG577" s="1853"/>
      <c r="BH577" s="1853"/>
      <c r="BI577" s="1854"/>
      <c r="BJ577" s="1212">
        <f>SUM(BJ571:BN576)</f>
        <v>0</v>
      </c>
      <c r="BK577" s="1213"/>
      <c r="BL577" s="1213"/>
      <c r="BM577" s="1213"/>
      <c r="BN577" s="1214"/>
      <c r="BO577" s="1212">
        <f>SUM(BO571:BS576)</f>
        <v>0</v>
      </c>
      <c r="BP577" s="1213"/>
      <c r="BQ577" s="1213"/>
      <c r="BR577" s="1213"/>
      <c r="BS577" s="1214"/>
      <c r="BT577" s="1212">
        <f>SUM(BT571:BX576)</f>
        <v>0</v>
      </c>
      <c r="BU577" s="1213"/>
      <c r="BV577" s="1213"/>
      <c r="BW577" s="1213"/>
      <c r="BX577" s="1214"/>
      <c r="BY577" s="1212">
        <f>SUM(BY571:CC576)</f>
        <v>0</v>
      </c>
      <c r="BZ577" s="1213"/>
      <c r="CA577" s="1213"/>
      <c r="CB577" s="1213"/>
      <c r="CC577" s="1214"/>
      <c r="CD577" s="1212">
        <f>SUM(CD571:CH576)</f>
        <v>0</v>
      </c>
      <c r="CE577" s="1213"/>
      <c r="CF577" s="1213"/>
      <c r="CG577" s="1213"/>
      <c r="CH577" s="1214"/>
      <c r="CI577" s="1212">
        <f>SUM(CI571:CM576)</f>
        <v>0</v>
      </c>
      <c r="CJ577" s="1213"/>
      <c r="CK577" s="1213"/>
      <c r="CL577" s="1213"/>
      <c r="CM577" s="1214"/>
      <c r="CN577" s="1212">
        <f>SUM(BJ577:CM577)</f>
        <v>0</v>
      </c>
      <c r="CO577" s="1213"/>
      <c r="CP577" s="1213"/>
      <c r="CQ577" s="1213"/>
      <c r="CR577" s="1214"/>
    </row>
    <row r="578" spans="5:96" s="4" customFormat="1" ht="12.75" customHeight="1">
      <c r="E578" s="1689"/>
      <c r="F578" s="1690"/>
      <c r="G578" s="1690"/>
      <c r="H578" s="1690"/>
      <c r="I578" s="1690"/>
      <c r="J578" s="1691"/>
      <c r="K578" s="1689"/>
      <c r="L578" s="1690"/>
      <c r="M578" s="1690"/>
      <c r="N578" s="1690"/>
      <c r="O578" s="1690"/>
      <c r="P578" s="1691"/>
      <c r="Q578" s="1533"/>
      <c r="R578" s="1534"/>
      <c r="S578" s="1534"/>
      <c r="T578" s="1534"/>
      <c r="U578" s="1534"/>
      <c r="V578" s="1535"/>
      <c r="W578" s="1533"/>
      <c r="X578" s="1534"/>
      <c r="Y578" s="1534"/>
      <c r="Z578" s="1534"/>
      <c r="AA578" s="1534"/>
      <c r="AB578" s="1535"/>
      <c r="AC578" s="1533"/>
      <c r="AD578" s="1534"/>
      <c r="AE578" s="1534"/>
      <c r="AF578" s="1534"/>
      <c r="AG578" s="1534"/>
      <c r="AH578" s="1535"/>
      <c r="AN578" s="281"/>
    </row>
    <row r="579" spans="5:96" s="4" customFormat="1" ht="12.75" customHeight="1">
      <c r="E579" s="1689"/>
      <c r="F579" s="1690"/>
      <c r="G579" s="1690"/>
      <c r="H579" s="1690"/>
      <c r="I579" s="1690"/>
      <c r="J579" s="1691"/>
      <c r="K579" s="1689"/>
      <c r="L579" s="1690"/>
      <c r="M579" s="1690"/>
      <c r="N579" s="1690"/>
      <c r="O579" s="1690"/>
      <c r="P579" s="1691"/>
      <c r="Q579" s="1533"/>
      <c r="R579" s="1534"/>
      <c r="S579" s="1534"/>
      <c r="T579" s="1534"/>
      <c r="U579" s="1534"/>
      <c r="V579" s="1535"/>
      <c r="W579" s="1533"/>
      <c r="X579" s="1534"/>
      <c r="Y579" s="1534"/>
      <c r="Z579" s="1534"/>
      <c r="AA579" s="1534"/>
      <c r="AB579" s="1535"/>
      <c r="AC579" s="1533"/>
      <c r="AD579" s="1534"/>
      <c r="AE579" s="1534"/>
      <c r="AF579" s="1534"/>
      <c r="AG579" s="1534"/>
      <c r="AH579" s="1535"/>
      <c r="AN579" s="281"/>
    </row>
    <row r="580" spans="5:96" s="4" customFormat="1" ht="12.75" customHeight="1">
      <c r="E580" s="1689"/>
      <c r="F580" s="1690"/>
      <c r="G580" s="1690"/>
      <c r="H580" s="1690"/>
      <c r="I580" s="1690"/>
      <c r="J580" s="1691"/>
      <c r="K580" s="1689"/>
      <c r="L580" s="1690"/>
      <c r="M580" s="1690"/>
      <c r="N580" s="1690"/>
      <c r="O580" s="1690"/>
      <c r="P580" s="1691"/>
      <c r="Q580" s="1533"/>
      <c r="R580" s="1534"/>
      <c r="S580" s="1534"/>
      <c r="T580" s="1534"/>
      <c r="U580" s="1534"/>
      <c r="V580" s="1535"/>
      <c r="W580" s="1533"/>
      <c r="X580" s="1534"/>
      <c r="Y580" s="1534"/>
      <c r="Z580" s="1534"/>
      <c r="AA580" s="1534"/>
      <c r="AB580" s="1535"/>
      <c r="AC580" s="1533"/>
      <c r="AD580" s="1534"/>
      <c r="AE580" s="1534"/>
      <c r="AF580" s="1534"/>
      <c r="AG580" s="1534"/>
      <c r="AH580" s="1535"/>
      <c r="AN580" s="281"/>
      <c r="AP580" s="3" t="s">
        <v>1127</v>
      </c>
      <c r="BH580" s="3" t="s">
        <v>1128</v>
      </c>
    </row>
    <row r="581" spans="5:96" s="4" customFormat="1" ht="12.75" customHeight="1">
      <c r="E581" s="1680"/>
      <c r="F581" s="1681"/>
      <c r="G581" s="1681"/>
      <c r="H581" s="1681"/>
      <c r="I581" s="1681"/>
      <c r="J581" s="1682"/>
      <c r="K581" s="1683">
        <v>20</v>
      </c>
      <c r="L581" s="1684"/>
      <c r="M581" s="1684"/>
      <c r="N581" s="1684"/>
      <c r="O581" s="1684"/>
      <c r="P581" s="1685"/>
      <c r="Q581" s="1752">
        <f>IF(ISERROR(IF((((E581/$BJ$528)*100)&gt;100),"EXCESSIVE VALUE",(E581/$BJ$528)*100)),0,IF((((E581/$BJ$528)*100)&gt;100),"EXCESSIVE VALUE",(E581/$BJ$528)*100))</f>
        <v>0</v>
      </c>
      <c r="R581" s="1753"/>
      <c r="S581" s="1753"/>
      <c r="T581" s="1753"/>
      <c r="U581" s="1753"/>
      <c r="V581" s="1754"/>
      <c r="W581" s="1692">
        <f>IF(FLOOR(Q581,5)&gt;80,80,FLOOR(Q581,5))</f>
        <v>0</v>
      </c>
      <c r="X581" s="1693"/>
      <c r="Y581" s="1693"/>
      <c r="Z581" s="1693"/>
      <c r="AA581" s="1693"/>
      <c r="AB581" s="1694"/>
      <c r="AC581" s="1692">
        <f t="shared" ref="AC581:AC586" si="4">IFERROR(IF(W581&gt;0,INDEX($BI$507:$BP$521,MATCH(W581,$BH$507:$BH$521,0),MATCH(K581,$BI$506:$BP$506,0)),0),0)</f>
        <v>0</v>
      </c>
      <c r="AD581" s="1693"/>
      <c r="AE581" s="1693"/>
      <c r="AF581" s="1693"/>
      <c r="AG581" s="1693"/>
      <c r="AH581" s="1694"/>
      <c r="AN581" s="281"/>
      <c r="AO581" s="4">
        <v>5</v>
      </c>
      <c r="AP581" s="1683">
        <f t="shared" ref="AP581:AP586" si="5">IF(OR(BE571&gt;=0.1,BE571=0),0,1)</f>
        <v>0</v>
      </c>
      <c r="AQ581" s="1684"/>
      <c r="AR581" s="1684"/>
      <c r="AS581" s="1684"/>
      <c r="AT581" s="1685"/>
      <c r="AX581" s="1723" t="s">
        <v>794</v>
      </c>
      <c r="AY581" s="1724"/>
      <c r="AZ581" s="1724"/>
      <c r="BA581" s="1724"/>
      <c r="BB581" s="1724"/>
      <c r="BC581" s="1724"/>
      <c r="BD581" s="1724"/>
      <c r="BE581" s="1724"/>
      <c r="BF581" s="1724"/>
      <c r="BG581" s="1724"/>
      <c r="BH581" s="1724"/>
      <c r="BI581" s="1724"/>
      <c r="BJ581" s="1724"/>
      <c r="BK581" s="1724"/>
      <c r="BL581" s="1724"/>
      <c r="BM581" s="1724"/>
      <c r="BN581" s="1724"/>
      <c r="BO581" s="1724"/>
      <c r="BP581" s="1724"/>
      <c r="BQ581" s="1725"/>
    </row>
    <row r="582" spans="5:96" s="4" customFormat="1" ht="12.75" customHeight="1">
      <c r="E582" s="1680">
        <f>7+8</f>
        <v>15</v>
      </c>
      <c r="F582" s="1681"/>
      <c r="G582" s="1681"/>
      <c r="H582" s="1681"/>
      <c r="I582" s="1681"/>
      <c r="J582" s="1682"/>
      <c r="K582" s="1683">
        <v>30</v>
      </c>
      <c r="L582" s="1684"/>
      <c r="M582" s="1684"/>
      <c r="N582" s="1684"/>
      <c r="O582" s="1684"/>
      <c r="P582" s="1685"/>
      <c r="Q582" s="1752">
        <f>IF(ISERROR(IF((((E582/$BJ$528)*100)&gt;100),"EXCESSIVE VALUE",(E582/$BJ$528)*100)),0,IF((((E582/$BJ$528)*100)&gt;100),"EXCESSIVE VALUE",(E582/$BJ$528)*100))</f>
        <v>23.809523809523807</v>
      </c>
      <c r="R582" s="1753"/>
      <c r="S582" s="1753"/>
      <c r="T582" s="1753"/>
      <c r="U582" s="1753"/>
      <c r="V582" s="1754"/>
      <c r="W582" s="1692">
        <f>IF(FLOOR(Q582,5)&gt;80,80,FLOOR(Q582,5))</f>
        <v>20</v>
      </c>
      <c r="X582" s="1693"/>
      <c r="Y582" s="1693"/>
      <c r="Z582" s="1693"/>
      <c r="AA582" s="1693"/>
      <c r="AB582" s="1694"/>
      <c r="AC582" s="1692">
        <f t="shared" si="4"/>
        <v>30</v>
      </c>
      <c r="AD582" s="1693"/>
      <c r="AE582" s="1693"/>
      <c r="AF582" s="1693"/>
      <c r="AG582" s="1693"/>
      <c r="AH582" s="1694"/>
      <c r="AN582" s="281"/>
      <c r="AO582" s="4">
        <v>4</v>
      </c>
      <c r="AP582" s="1683">
        <f t="shared" si="5"/>
        <v>0</v>
      </c>
      <c r="AQ582" s="1684"/>
      <c r="AR582" s="1684"/>
      <c r="AS582" s="1684"/>
      <c r="AT582" s="1685"/>
      <c r="AX582" s="1804" t="s">
        <v>616</v>
      </c>
      <c r="AY582" s="1805"/>
      <c r="AZ582" s="1318" t="s">
        <v>616</v>
      </c>
      <c r="BA582" s="1320"/>
      <c r="BB582" s="1804" t="s">
        <v>265</v>
      </c>
      <c r="BC582" s="1805"/>
      <c r="BD582" s="1733" t="s">
        <v>265</v>
      </c>
      <c r="BE582" s="1735"/>
      <c r="BF582" s="1804" t="s">
        <v>264</v>
      </c>
      <c r="BG582" s="1805"/>
      <c r="BH582" s="1733" t="s">
        <v>264</v>
      </c>
      <c r="BI582" s="1735"/>
      <c r="BJ582" s="1804" t="s">
        <v>263</v>
      </c>
      <c r="BK582" s="1805"/>
      <c r="BL582" s="1733" t="s">
        <v>263</v>
      </c>
      <c r="BM582" s="1735"/>
      <c r="BN582" s="1804" t="s">
        <v>615</v>
      </c>
      <c r="BO582" s="1805"/>
      <c r="BP582" s="1733" t="s">
        <v>615</v>
      </c>
      <c r="BQ582" s="1735"/>
    </row>
    <row r="583" spans="5:96" s="4" customFormat="1" ht="12.75" customHeight="1">
      <c r="E583" s="1680"/>
      <c r="F583" s="1681"/>
      <c r="G583" s="1681"/>
      <c r="H583" s="1681"/>
      <c r="I583" s="1681"/>
      <c r="J583" s="1682"/>
      <c r="K583" s="1683">
        <v>35</v>
      </c>
      <c r="L583" s="1684"/>
      <c r="M583" s="1684"/>
      <c r="N583" s="1684"/>
      <c r="O583" s="1684"/>
      <c r="P583" s="1685"/>
      <c r="Q583" s="1752">
        <f t="shared" ref="Q583:Q589" si="6">IF(ISERROR(IF((((E583/$BJ$528)*100)&gt;100),"EXCESSIVE VALUE",(E583/$BJ$528)*100)),0,IF((((E583/$BJ$528)*100)&gt;100),"EXCESSIVE VALUE",(E583/$BJ$528)*100))</f>
        <v>0</v>
      </c>
      <c r="R583" s="1753"/>
      <c r="S583" s="1753"/>
      <c r="T583" s="1753"/>
      <c r="U583" s="1753"/>
      <c r="V583" s="1754"/>
      <c r="W583" s="1692">
        <f t="shared" ref="W583:W589" si="7">IF(FLOOR(Q583,5)&gt;80,80,FLOOR(Q583,5))</f>
        <v>0</v>
      </c>
      <c r="X583" s="1693"/>
      <c r="Y583" s="1693"/>
      <c r="Z583" s="1693"/>
      <c r="AA583" s="1693"/>
      <c r="AB583" s="1694"/>
      <c r="AC583" s="1692">
        <f t="shared" si="4"/>
        <v>0</v>
      </c>
      <c r="AD583" s="1693"/>
      <c r="AE583" s="1693"/>
      <c r="AF583" s="1693"/>
      <c r="AG583" s="1693"/>
      <c r="AH583" s="1694"/>
      <c r="AN583" s="281"/>
      <c r="AO583" s="4">
        <v>3</v>
      </c>
      <c r="AP583" s="1683">
        <f t="shared" si="5"/>
        <v>0</v>
      </c>
      <c r="AQ583" s="1684"/>
      <c r="AR583" s="1684"/>
      <c r="AS583" s="1684"/>
      <c r="AT583" s="1685"/>
      <c r="AX583" s="1804">
        <f>IF(AP533=1,1,0)</f>
        <v>0</v>
      </c>
      <c r="AY583" s="1805"/>
      <c r="AZ583" s="1723"/>
      <c r="BA583" s="1725"/>
      <c r="BB583" s="1850"/>
      <c r="BC583" s="1851"/>
      <c r="BD583" s="1733">
        <f>IF(AND(T609&gt;0,AP533&gt;0),1,0)</f>
        <v>0</v>
      </c>
      <c r="BE583" s="1735"/>
      <c r="BF583" s="1850"/>
      <c r="BG583" s="1851"/>
      <c r="BH583" s="1733">
        <f>IF(AND(T609&gt;0,AP533&gt;0),1,0)</f>
        <v>0</v>
      </c>
      <c r="BI583" s="1735"/>
      <c r="BJ583" s="1850"/>
      <c r="BK583" s="1851"/>
      <c r="BL583" s="1733">
        <f>IF(AND(T609&gt;0,AP533&gt;0),1,0)</f>
        <v>0</v>
      </c>
      <c r="BM583" s="1735"/>
      <c r="BN583" s="1850"/>
      <c r="BO583" s="1851"/>
      <c r="BP583" s="1733">
        <f>IF(AND(T609&gt;0,AP533&gt;0),1,0)</f>
        <v>0</v>
      </c>
      <c r="BQ583" s="1735"/>
    </row>
    <row r="584" spans="5:96" s="4" customFormat="1" ht="12.75" customHeight="1">
      <c r="E584" s="1680">
        <f>4+4</f>
        <v>8</v>
      </c>
      <c r="F584" s="1681"/>
      <c r="G584" s="1681"/>
      <c r="H584" s="1681"/>
      <c r="I584" s="1681"/>
      <c r="J584" s="1682"/>
      <c r="K584" s="1683">
        <v>40</v>
      </c>
      <c r="L584" s="1684"/>
      <c r="M584" s="1684"/>
      <c r="N584" s="1684"/>
      <c r="O584" s="1684"/>
      <c r="P584" s="1685"/>
      <c r="Q584" s="1752">
        <f t="shared" si="6"/>
        <v>12.698412698412698</v>
      </c>
      <c r="R584" s="1753"/>
      <c r="S584" s="1753"/>
      <c r="T584" s="1753"/>
      <c r="U584" s="1753"/>
      <c r="V584" s="1754"/>
      <c r="W584" s="1692">
        <f t="shared" si="7"/>
        <v>10</v>
      </c>
      <c r="X584" s="1693"/>
      <c r="Y584" s="1693"/>
      <c r="Z584" s="1693"/>
      <c r="AA584" s="1693"/>
      <c r="AB584" s="1694"/>
      <c r="AC584" s="1692">
        <f t="shared" si="4"/>
        <v>10</v>
      </c>
      <c r="AD584" s="1693"/>
      <c r="AE584" s="1693"/>
      <c r="AF584" s="1693"/>
      <c r="AG584" s="1693"/>
      <c r="AH584" s="1694"/>
      <c r="AN584" s="281"/>
      <c r="AO584" s="4">
        <v>2</v>
      </c>
      <c r="AP584" s="1683">
        <f t="shared" si="5"/>
        <v>0</v>
      </c>
      <c r="AQ584" s="1684"/>
      <c r="AR584" s="1684"/>
      <c r="AS584" s="1684"/>
      <c r="AT584" s="1685"/>
      <c r="AX584" s="1850"/>
      <c r="AY584" s="1851"/>
      <c r="AZ584" s="1723"/>
      <c r="BA584" s="1725"/>
      <c r="BB584" s="1804">
        <f>IF(AP534=1,1,0)</f>
        <v>1</v>
      </c>
      <c r="BC584" s="1805"/>
      <c r="BD584" s="1723"/>
      <c r="BE584" s="1725"/>
      <c r="BF584" s="1850"/>
      <c r="BG584" s="1851"/>
      <c r="BH584" s="1733">
        <f>IF(AND(T610&gt;0,AP534&gt;0),1,0)</f>
        <v>1</v>
      </c>
      <c r="BI584" s="1735"/>
      <c r="BJ584" s="1850"/>
      <c r="BK584" s="1851"/>
      <c r="BL584" s="1733">
        <f>IF(AND(T610&gt;0,AP534&gt;0),1,0)</f>
        <v>1</v>
      </c>
      <c r="BM584" s="1735"/>
      <c r="BN584" s="1850"/>
      <c r="BO584" s="1851"/>
      <c r="BP584" s="1733">
        <f>IF(AND(T610&gt;0,AP534&gt;0),1,0)</f>
        <v>1</v>
      </c>
      <c r="BQ584" s="1735"/>
    </row>
    <row r="585" spans="5:96" s="4" customFormat="1" ht="12.75" customHeight="1">
      <c r="E585" s="1680"/>
      <c r="F585" s="1681"/>
      <c r="G585" s="1681"/>
      <c r="H585" s="1681"/>
      <c r="I585" s="1681"/>
      <c r="J585" s="1682"/>
      <c r="K585" s="1683">
        <v>45</v>
      </c>
      <c r="L585" s="1684"/>
      <c r="M585" s="1684"/>
      <c r="N585" s="1684"/>
      <c r="O585" s="1684"/>
      <c r="P585" s="1685"/>
      <c r="Q585" s="1752">
        <f t="shared" si="6"/>
        <v>0</v>
      </c>
      <c r="R585" s="1753"/>
      <c r="S585" s="1753"/>
      <c r="T585" s="1753"/>
      <c r="U585" s="1753"/>
      <c r="V585" s="1754"/>
      <c r="W585" s="1692">
        <f>IF(FLOOR(Q585,5)&gt;65,65,FLOOR(Q585,5))</f>
        <v>0</v>
      </c>
      <c r="X585" s="1693"/>
      <c r="Y585" s="1693"/>
      <c r="Z585" s="1693"/>
      <c r="AA585" s="1693"/>
      <c r="AB585" s="1694"/>
      <c r="AC585" s="1692">
        <f t="shared" si="4"/>
        <v>0</v>
      </c>
      <c r="AD585" s="1693"/>
      <c r="AE585" s="1693"/>
      <c r="AF585" s="1693"/>
      <c r="AG585" s="1693"/>
      <c r="AH585" s="1694"/>
      <c r="AN585" s="281"/>
      <c r="AO585" s="4">
        <v>1</v>
      </c>
      <c r="AP585" s="1683">
        <f t="shared" si="5"/>
        <v>0</v>
      </c>
      <c r="AQ585" s="1684"/>
      <c r="AR585" s="1684"/>
      <c r="AS585" s="1684"/>
      <c r="AT585" s="1685"/>
      <c r="AX585" s="1850"/>
      <c r="AY585" s="1851"/>
      <c r="AZ585" s="1723"/>
      <c r="BA585" s="1725"/>
      <c r="BB585" s="1850"/>
      <c r="BC585" s="1851"/>
      <c r="BD585" s="1723"/>
      <c r="BE585" s="1725"/>
      <c r="BF585" s="1804">
        <f>IF(AP535=1,1,0)</f>
        <v>0</v>
      </c>
      <c r="BG585" s="1805"/>
      <c r="BH585" s="1723"/>
      <c r="BI585" s="1725"/>
      <c r="BJ585" s="1850"/>
      <c r="BK585" s="1851"/>
      <c r="BL585" s="1733">
        <f>IF(AND(T611&gt;0,AP535&gt;0),1,0)</f>
        <v>1</v>
      </c>
      <c r="BM585" s="1735"/>
      <c r="BN585" s="1850"/>
      <c r="BO585" s="1851"/>
      <c r="BP585" s="1733">
        <f>IF(AND(T611&gt;0,AP535&gt;0),1,0)</f>
        <v>1</v>
      </c>
      <c r="BQ585" s="1735"/>
    </row>
    <row r="586" spans="5:96" s="4" customFormat="1" ht="12.75" customHeight="1">
      <c r="E586" s="1680"/>
      <c r="F586" s="1681"/>
      <c r="G586" s="1681"/>
      <c r="H586" s="1681"/>
      <c r="I586" s="1681"/>
      <c r="J586" s="1682"/>
      <c r="K586" s="1683" t="str">
        <f>IF(OR(Application!D211="Rural",Application!D211="Rural apportionment (Section 514)",Application!D211="Rural apportionment (Section 515)",Application!D211="Rural apportionment (CDBG-DR)",Application!D211="Rural apportionment (HOME)",Application!D211="Rural (Native American apportionment)"),"",50)</f>
        <v/>
      </c>
      <c r="L586" s="1684"/>
      <c r="M586" s="1684"/>
      <c r="N586" s="1684"/>
      <c r="O586" s="1684"/>
      <c r="P586" s="1685"/>
      <c r="Q586" s="1752">
        <f t="shared" si="6"/>
        <v>0</v>
      </c>
      <c r="R586" s="1753"/>
      <c r="S586" s="1753"/>
      <c r="T586" s="1753"/>
      <c r="U586" s="1753"/>
      <c r="V586" s="1754"/>
      <c r="W586" s="1692">
        <f>IF(FLOOR(Q586,5)&gt;40,40,FLOOR(Q586,5))</f>
        <v>0</v>
      </c>
      <c r="X586" s="1693"/>
      <c r="Y586" s="1693"/>
      <c r="Z586" s="1693"/>
      <c r="AA586" s="1693"/>
      <c r="AB586" s="1694"/>
      <c r="AC586" s="1692">
        <f t="shared" si="4"/>
        <v>0</v>
      </c>
      <c r="AD586" s="1693"/>
      <c r="AE586" s="1693"/>
      <c r="AF586" s="1693"/>
      <c r="AG586" s="1693"/>
      <c r="AH586" s="1694"/>
      <c r="AN586" s="281"/>
      <c r="AO586" s="4">
        <v>0</v>
      </c>
      <c r="AP586" s="1683">
        <f t="shared" si="5"/>
        <v>0</v>
      </c>
      <c r="AQ586" s="1684"/>
      <c r="AR586" s="1684"/>
      <c r="AS586" s="1684"/>
      <c r="AT586" s="1685"/>
      <c r="AX586" s="1850"/>
      <c r="AY586" s="1851"/>
      <c r="AZ586" s="1723"/>
      <c r="BA586" s="1725"/>
      <c r="BB586" s="1850"/>
      <c r="BC586" s="1851"/>
      <c r="BD586" s="1723"/>
      <c r="BE586" s="1725"/>
      <c r="BF586" s="1850"/>
      <c r="BG586" s="1851"/>
      <c r="BH586" s="1723"/>
      <c r="BI586" s="1725"/>
      <c r="BJ586" s="1804">
        <f>IF(AP536=1,1,0)</f>
        <v>0</v>
      </c>
      <c r="BK586" s="1805"/>
      <c r="BL586" s="1850"/>
      <c r="BM586" s="1851"/>
      <c r="BN586" s="1850"/>
      <c r="BO586" s="1851"/>
      <c r="BP586" s="1733">
        <f>IF(AND(T612&gt;0,AP536&gt;0),1,0)</f>
        <v>0</v>
      </c>
      <c r="BQ586" s="1735"/>
    </row>
    <row r="587" spans="5:96" s="4" customFormat="1" ht="12.75" customHeight="1">
      <c r="E587" s="1778">
        <f>7+7</f>
        <v>14</v>
      </c>
      <c r="F587" s="1779"/>
      <c r="G587" s="1779"/>
      <c r="H587" s="1779"/>
      <c r="I587" s="1779"/>
      <c r="J587" s="1780"/>
      <c r="K587" s="1886">
        <f>IF(OR(Application!D211="Rural",Application!D211="Rural apportionment (Section 514)",Application!D211="Rural apportionment (Section 515)",Application!D211="Rural apportionment (HOME)",Application!D211="Rural apportionment (CDBG-DR)",Application!D211="Rural (Native American apportionment)"),50,"")</f>
        <v>50</v>
      </c>
      <c r="L587" s="1887"/>
      <c r="M587" s="1888" t="s">
        <v>2313</v>
      </c>
      <c r="N587" s="1888"/>
      <c r="O587" s="1888"/>
      <c r="P587" s="1889"/>
      <c r="Q587" s="1752">
        <f t="shared" si="6"/>
        <v>22.222222222222221</v>
      </c>
      <c r="R587" s="1753"/>
      <c r="S587" s="1753"/>
      <c r="T587" s="1753"/>
      <c r="U587" s="1753"/>
      <c r="V587" s="1754"/>
      <c r="W587" s="1692">
        <f>IF(FLOOR(Q587,5)&gt;50,50,FLOOR(Q587,5))</f>
        <v>20</v>
      </c>
      <c r="X587" s="1693"/>
      <c r="Y587" s="1693"/>
      <c r="Z587" s="1693"/>
      <c r="AA587" s="1693"/>
      <c r="AB587" s="1694"/>
      <c r="AC587" s="1692">
        <f>IFERROR(IF(W587&gt;0,INDEX($AT$507:$BA$521,MATCH(W587,$AS$507:$AS$521,0),MATCH(K587,$AT$506:$BA$506,0)),0),0)</f>
        <v>10</v>
      </c>
      <c r="AD587" s="1693"/>
      <c r="AE587" s="1693"/>
      <c r="AF587" s="1693"/>
      <c r="AG587" s="1693"/>
      <c r="AH587" s="1694"/>
      <c r="AN587" s="281"/>
      <c r="AP587" s="1683"/>
      <c r="AQ587" s="1684"/>
      <c r="AR587" s="1684"/>
      <c r="AS587" s="1684"/>
      <c r="AT587" s="1685"/>
      <c r="AX587" s="1850"/>
      <c r="AY587" s="1851"/>
      <c r="AZ587" s="1723"/>
      <c r="BA587" s="1725"/>
      <c r="BB587" s="1850"/>
      <c r="BC587" s="1851"/>
      <c r="BD587" s="1723"/>
      <c r="BE587" s="1725"/>
      <c r="BF587" s="1850"/>
      <c r="BG587" s="1851"/>
      <c r="BH587" s="1723"/>
      <c r="BI587" s="1725"/>
      <c r="BJ587" s="1850"/>
      <c r="BK587" s="1851"/>
      <c r="BL587" s="1850"/>
      <c r="BM587" s="1851"/>
      <c r="BN587" s="1804">
        <f>IF(AP537=1,1,0)</f>
        <v>0</v>
      </c>
      <c r="BO587" s="1805"/>
      <c r="BP587" s="1723"/>
      <c r="BQ587" s="1725"/>
    </row>
    <row r="588" spans="5:96" s="4" customFormat="1" ht="12.75" customHeight="1">
      <c r="E588" s="1778"/>
      <c r="F588" s="1779"/>
      <c r="G588" s="1779"/>
      <c r="H588" s="1779"/>
      <c r="I588" s="1779"/>
      <c r="J588" s="1780"/>
      <c r="K588" s="1886">
        <f>IF(OR(Application!D211="Rural",Application!D211="Rural apportionment (Section 514)",Application!D211="Rural apportionment (Section 515)",Application!D211="Rural apportionment (HOME)",Application!D211="Rural apportionment (CDBG-DR)",Application!D211="Rural (Native American apportionment)"),55,"")</f>
        <v>55</v>
      </c>
      <c r="L588" s="1887"/>
      <c r="M588" s="1888" t="s">
        <v>2313</v>
      </c>
      <c r="N588" s="1888"/>
      <c r="O588" s="1888"/>
      <c r="P588" s="1889"/>
      <c r="Q588" s="1752">
        <f t="shared" si="6"/>
        <v>0</v>
      </c>
      <c r="R588" s="1753"/>
      <c r="S588" s="1753"/>
      <c r="T588" s="1753"/>
      <c r="U588" s="1753"/>
      <c r="V588" s="1754"/>
      <c r="W588" s="1692">
        <f>IF(FLOOR(Q588,5)&gt;40,40,FLOOR(Q588,5))</f>
        <v>0</v>
      </c>
      <c r="X588" s="1693"/>
      <c r="Y588" s="1693"/>
      <c r="Z588" s="1693"/>
      <c r="AA588" s="1693"/>
      <c r="AB588" s="1694"/>
      <c r="AC588" s="1692">
        <f>IFERROR(IF(W588&gt;0,INDEX($AT$507:$BA$521,MATCH(W588,$AS$507:$AS$521,0),MATCH(K588,$AT$506:$BA$506,0)),0),0)</f>
        <v>0</v>
      </c>
      <c r="AD588" s="1693"/>
      <c r="AE588" s="1693"/>
      <c r="AF588" s="1693"/>
      <c r="AG588" s="1693"/>
      <c r="AH588" s="1694"/>
      <c r="AN588" s="281"/>
      <c r="AX588" s="1804">
        <f>SUM(AX583:AY587)</f>
        <v>0</v>
      </c>
      <c r="AY588" s="1805"/>
      <c r="AZ588" s="1733">
        <f>SUM(AZ584:BA587)</f>
        <v>0</v>
      </c>
      <c r="BA588" s="1735"/>
      <c r="BB588" s="1804">
        <f>SUM(BB584:BC587)</f>
        <v>1</v>
      </c>
      <c r="BC588" s="1805"/>
      <c r="BD588" s="1733">
        <f>SUM(BD583:BE587)</f>
        <v>0</v>
      </c>
      <c r="BE588" s="1735"/>
      <c r="BF588" s="1804">
        <f>SUM(BF585:BG587)</f>
        <v>0</v>
      </c>
      <c r="BG588" s="1805"/>
      <c r="BH588" s="1733">
        <f>SUM(BH583:BI587)</f>
        <v>1</v>
      </c>
      <c r="BI588" s="1735"/>
      <c r="BJ588" s="1804">
        <f>SUM(BJ583:BK587)</f>
        <v>0</v>
      </c>
      <c r="BK588" s="1805"/>
      <c r="BL588" s="1733">
        <f>SUM(BL583:BM587)</f>
        <v>2</v>
      </c>
      <c r="BM588" s="1735"/>
      <c r="BN588" s="1804">
        <f>SUM(BN583:BO587)</f>
        <v>0</v>
      </c>
      <c r="BO588" s="1805"/>
      <c r="BP588" s="1733">
        <f>SUM(BP583:BQ587)</f>
        <v>2</v>
      </c>
      <c r="BQ588" s="1735"/>
    </row>
    <row r="589" spans="5:96" s="4" customFormat="1" ht="12.75" customHeight="1">
      <c r="E589" s="1680">
        <v>26</v>
      </c>
      <c r="F589" s="1681"/>
      <c r="G589" s="1681"/>
      <c r="H589" s="1681"/>
      <c r="I589" s="1681"/>
      <c r="J589" s="1682"/>
      <c r="K589" s="1683" t="s">
        <v>2128</v>
      </c>
      <c r="L589" s="1684"/>
      <c r="M589" s="1684"/>
      <c r="N589" s="1684"/>
      <c r="O589" s="1684"/>
      <c r="P589" s="1685"/>
      <c r="Q589" s="1752">
        <f t="shared" si="6"/>
        <v>41.269841269841265</v>
      </c>
      <c r="R589" s="1753"/>
      <c r="S589" s="1753"/>
      <c r="T589" s="1753"/>
      <c r="U589" s="1753"/>
      <c r="V589" s="1754"/>
      <c r="W589" s="1692">
        <f t="shared" si="7"/>
        <v>40</v>
      </c>
      <c r="X589" s="1693"/>
      <c r="Y589" s="1693"/>
      <c r="Z589" s="1693"/>
      <c r="AA589" s="1693"/>
      <c r="AB589" s="1694"/>
      <c r="AC589" s="1692">
        <v>0</v>
      </c>
      <c r="AD589" s="1693"/>
      <c r="AE589" s="1693"/>
      <c r="AF589" s="1693"/>
      <c r="AG589" s="1693"/>
      <c r="AH589" s="1694"/>
      <c r="AN589" s="281"/>
      <c r="AX589" s="1818">
        <f>IF(AND(AX588=1,AZ588&gt;1),1,0)</f>
        <v>0</v>
      </c>
      <c r="AY589" s="1819"/>
      <c r="AZ589" s="1819"/>
      <c r="BA589" s="1820"/>
      <c r="BB589" s="1818">
        <f>IF(AND(BB588=1,BD588&gt;=1),1,0)</f>
        <v>0</v>
      </c>
      <c r="BC589" s="1819"/>
      <c r="BD589" s="1819"/>
      <c r="BE589" s="1820"/>
      <c r="BF589" s="1818">
        <f>IF(AND(BF588=1,BH588&gt;=1),1,0)</f>
        <v>0</v>
      </c>
      <c r="BG589" s="1819"/>
      <c r="BH589" s="1819"/>
      <c r="BI589" s="1820"/>
      <c r="BJ589" s="1818">
        <f>IF(AND(BJ588=1,BL588&gt;=1),1,0)</f>
        <v>0</v>
      </c>
      <c r="BK589" s="1819"/>
      <c r="BL589" s="1819"/>
      <c r="BM589" s="1820"/>
      <c r="BN589" s="1818">
        <f>IF(AND(BN588=1,BP588&gt;=1),1,0)</f>
        <v>0</v>
      </c>
      <c r="BO589" s="1819"/>
      <c r="BP589" s="1819"/>
      <c r="BQ589" s="1820"/>
    </row>
    <row r="590" spans="5:96" s="4" customFormat="1" ht="12.75" customHeight="1">
      <c r="E590" s="1680"/>
      <c r="F590" s="1681"/>
      <c r="G590" s="1681"/>
      <c r="H590" s="1681"/>
      <c r="I590" s="1681"/>
      <c r="J590" s="1682"/>
      <c r="K590" s="1683" t="s">
        <v>2129</v>
      </c>
      <c r="L590" s="1684"/>
      <c r="M590" s="1684"/>
      <c r="N590" s="1684"/>
      <c r="O590" s="1684"/>
      <c r="P590" s="1685"/>
      <c r="Q590" s="1752">
        <f>IF(ISERROR(IF((((E590/$BJ$528)*100)&gt;100),"EXCESSIVE VALUE",(E590/$BJ$528)*100)),0,IF((((E590/$BJ$528)*100)&gt;100),"EXCESSIVE VALUE",(E590/$BJ$528)*100))</f>
        <v>0</v>
      </c>
      <c r="R590" s="1753"/>
      <c r="S590" s="1753"/>
      <c r="T590" s="1753"/>
      <c r="U590" s="1753"/>
      <c r="V590" s="1754"/>
      <c r="W590" s="1692">
        <f>IF(FLOOR(Q590,5)&gt;80,80,FLOOR(Q590,5))</f>
        <v>0</v>
      </c>
      <c r="X590" s="1693"/>
      <c r="Y590" s="1693"/>
      <c r="Z590" s="1693"/>
      <c r="AA590" s="1693"/>
      <c r="AB590" s="1694"/>
      <c r="AC590" s="1692">
        <v>0</v>
      </c>
      <c r="AD590" s="1693"/>
      <c r="AE590" s="1693"/>
      <c r="AF590" s="1693"/>
      <c r="AG590" s="1693"/>
      <c r="AH590" s="1694"/>
      <c r="AN590" s="281"/>
      <c r="AX590"/>
      <c r="AY590"/>
      <c r="AZ590"/>
      <c r="BA590"/>
      <c r="BB590"/>
      <c r="BC590"/>
      <c r="BD590"/>
      <c r="BE590"/>
      <c r="BF590"/>
      <c r="BG590"/>
      <c r="BH590"/>
      <c r="BI590" s="34" t="s">
        <v>610</v>
      </c>
      <c r="BJ590" s="1818">
        <f>AX589+BB589+BF589+BJ589+BN589</f>
        <v>0</v>
      </c>
      <c r="BK590" s="1819"/>
      <c r="BL590" s="1819"/>
      <c r="BM590" s="1820"/>
      <c r="BN590"/>
      <c r="BO590"/>
      <c r="BP590"/>
      <c r="BQ590"/>
    </row>
    <row r="591" spans="5:96" s="4" customFormat="1" ht="12.75" customHeight="1">
      <c r="E591" s="1680"/>
      <c r="F591" s="1681"/>
      <c r="G591" s="1681"/>
      <c r="H591" s="1681"/>
      <c r="I591" s="1681"/>
      <c r="J591" s="1682"/>
      <c r="K591" s="1683" t="s">
        <v>2130</v>
      </c>
      <c r="L591" s="1684"/>
      <c r="M591" s="1684"/>
      <c r="N591" s="1684"/>
      <c r="O591" s="1684"/>
      <c r="P591" s="1685"/>
      <c r="Q591" s="1752">
        <f>IF(ISERROR(IF((((E591/$BJ$528)*100)&gt;100),"EXCESSIVE VALUE",(E591/$BJ$528)*100)),0,IF((((E591/$BJ$528)*100)&gt;100),"EXCESSIVE VALUE",(E591/$BJ$528)*100))</f>
        <v>0</v>
      </c>
      <c r="R591" s="1753"/>
      <c r="S591" s="1753"/>
      <c r="T591" s="1753"/>
      <c r="U591" s="1753"/>
      <c r="V591" s="1754"/>
      <c r="W591" s="1692">
        <f>IF(FLOOR(Q591,5)&gt;80,80,FLOOR(Q591,5))</f>
        <v>0</v>
      </c>
      <c r="X591" s="1693"/>
      <c r="Y591" s="1693"/>
      <c r="Z591" s="1693"/>
      <c r="AA591" s="1693"/>
      <c r="AB591" s="1694"/>
      <c r="AC591" s="1692">
        <v>0</v>
      </c>
      <c r="AD591" s="1693"/>
      <c r="AE591" s="1693"/>
      <c r="AF591" s="1693"/>
      <c r="AG591" s="1693"/>
      <c r="AH591" s="1694"/>
      <c r="AN591" s="281"/>
      <c r="AX591"/>
      <c r="AY591"/>
      <c r="AZ591"/>
      <c r="BA591"/>
      <c r="BB591"/>
      <c r="BC591"/>
      <c r="BD591"/>
      <c r="BE591"/>
      <c r="BF591"/>
      <c r="BG591"/>
      <c r="BI591"/>
      <c r="BJ591" t="s">
        <v>609</v>
      </c>
      <c r="BK591"/>
      <c r="BL591"/>
      <c r="BM591"/>
      <c r="BN591"/>
      <c r="BO591"/>
      <c r="BP591"/>
      <c r="BQ591"/>
    </row>
    <row r="592" spans="5:96" s="4" customFormat="1" ht="12.75" customHeight="1">
      <c r="E592" s="1775">
        <f>SUM(E581:J591)</f>
        <v>63</v>
      </c>
      <c r="F592" s="1776"/>
      <c r="G592" s="1776"/>
      <c r="H592" s="1776"/>
      <c r="I592" s="1776"/>
      <c r="J592" s="1777"/>
      <c r="K592" s="89"/>
      <c r="L592" s="89"/>
      <c r="M592" s="89"/>
      <c r="N592" s="89"/>
      <c r="O592" s="89"/>
      <c r="P592" s="89"/>
      <c r="Q592" s="89"/>
      <c r="R592" s="89"/>
      <c r="S592" s="89"/>
      <c r="T592" s="89"/>
      <c r="U592" s="93"/>
      <c r="V592" s="93"/>
      <c r="W592" s="93"/>
      <c r="X592" s="93"/>
      <c r="Y592" s="93"/>
      <c r="Z592" s="89"/>
      <c r="AA592" s="93"/>
      <c r="AB592" s="60" t="s">
        <v>605</v>
      </c>
      <c r="AC592" s="1772">
        <f>IF(SUM(AC581:AH591)&gt;0,SUM(AC581:AH591),0)</f>
        <v>50</v>
      </c>
      <c r="AD592" s="1773"/>
      <c r="AE592" s="1773"/>
      <c r="AF592" s="1773"/>
      <c r="AG592" s="1773"/>
      <c r="AH592" s="177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736" t="s">
        <v>103</v>
      </c>
      <c r="AH596" s="1736"/>
      <c r="AI596" s="1736"/>
      <c r="AJ596" s="1736"/>
      <c r="AK596" s="5"/>
      <c r="AL596" s="5"/>
      <c r="AM596" s="5"/>
      <c r="AN596" s="281"/>
    </row>
    <row r="597" spans="1:64" s="4" customFormat="1" ht="12.75" customHeight="1">
      <c r="B597" s="1698" t="s">
        <v>2118</v>
      </c>
      <c r="C597" s="1698"/>
      <c r="D597" s="1698"/>
      <c r="E597" s="1698"/>
      <c r="F597" s="1698"/>
      <c r="G597" s="1698"/>
      <c r="H597" s="1698"/>
      <c r="I597" s="1698"/>
      <c r="J597" s="1698"/>
      <c r="K597" s="1698"/>
      <c r="L597" s="1698"/>
      <c r="M597" s="1698"/>
      <c r="N597" s="1698"/>
      <c r="O597" s="1698"/>
      <c r="P597" s="1698"/>
      <c r="Q597" s="1698"/>
      <c r="R597" s="1698"/>
      <c r="S597" s="1698"/>
      <c r="T597" s="1698"/>
      <c r="U597" s="1698"/>
      <c r="V597" s="1698"/>
      <c r="W597" s="1698"/>
      <c r="X597" s="1698"/>
      <c r="Y597" s="1698"/>
      <c r="Z597" s="1698"/>
      <c r="AA597" s="1698"/>
      <c r="AB597" s="1698"/>
      <c r="AC597" s="1698"/>
      <c r="AD597" s="1698"/>
      <c r="AE597" s="1698"/>
      <c r="AF597" s="1698"/>
      <c r="AG597" s="1698"/>
      <c r="AH597" s="1698"/>
      <c r="AI597" s="21"/>
      <c r="AJ597" s="21"/>
      <c r="AK597"/>
      <c r="AL597"/>
      <c r="AM597"/>
      <c r="AN597" s="281"/>
    </row>
    <row r="598" spans="1:64" s="4" customFormat="1" ht="12.75" customHeight="1">
      <c r="A598" s="21"/>
      <c r="B598" s="1698"/>
      <c r="C598" s="1698"/>
      <c r="D598" s="1698"/>
      <c r="E598" s="1698"/>
      <c r="F598" s="1698"/>
      <c r="G598" s="1698"/>
      <c r="H598" s="1698"/>
      <c r="I598" s="1698"/>
      <c r="J598" s="1698"/>
      <c r="K598" s="1698"/>
      <c r="L598" s="1698"/>
      <c r="M598" s="1698"/>
      <c r="N598" s="1698"/>
      <c r="O598" s="1698"/>
      <c r="P598" s="1698"/>
      <c r="Q598" s="1698"/>
      <c r="R598" s="1698"/>
      <c r="S598" s="1698"/>
      <c r="T598" s="1698"/>
      <c r="U598" s="1698"/>
      <c r="V598" s="1698"/>
      <c r="W598" s="1698"/>
      <c r="X598" s="1698"/>
      <c r="Y598" s="1698"/>
      <c r="Z598" s="1698"/>
      <c r="AA598" s="1698"/>
      <c r="AB598" s="1698"/>
      <c r="AC598" s="1698"/>
      <c r="AD598" s="1698"/>
      <c r="AE598" s="1698"/>
      <c r="AF598" s="1698"/>
      <c r="AG598" s="1698"/>
      <c r="AH598" s="1698"/>
      <c r="AI598" s="21"/>
      <c r="AJ598" s="21"/>
      <c r="AK598"/>
      <c r="AL598"/>
      <c r="AM598"/>
      <c r="AN598" s="281"/>
    </row>
    <row r="599" spans="1:64" s="4" customFormat="1" ht="12.75" customHeight="1">
      <c r="A599" s="21"/>
      <c r="B599" s="1698"/>
      <c r="C599" s="1698"/>
      <c r="D599" s="1698"/>
      <c r="E599" s="1698"/>
      <c r="F599" s="1698"/>
      <c r="G599" s="1698"/>
      <c r="H599" s="1698"/>
      <c r="I599" s="1698"/>
      <c r="J599" s="1698"/>
      <c r="K599" s="1698"/>
      <c r="L599" s="1698"/>
      <c r="M599" s="1698"/>
      <c r="N599" s="1698"/>
      <c r="O599" s="1698"/>
      <c r="P599" s="1698"/>
      <c r="Q599" s="1698"/>
      <c r="R599" s="1698"/>
      <c r="S599" s="1698"/>
      <c r="T599" s="1698"/>
      <c r="U599" s="1698"/>
      <c r="V599" s="1698"/>
      <c r="W599" s="1698"/>
      <c r="X599" s="1698"/>
      <c r="Y599" s="1698"/>
      <c r="Z599" s="1698"/>
      <c r="AA599" s="1698"/>
      <c r="AB599" s="1698"/>
      <c r="AC599" s="1698"/>
      <c r="AD599" s="1698"/>
      <c r="AE599" s="1698"/>
      <c r="AF599" s="1698"/>
      <c r="AG599" s="1698"/>
      <c r="AH599" s="1698"/>
      <c r="AI599" s="21"/>
      <c r="AJ599" s="21"/>
      <c r="AK599"/>
      <c r="AL599"/>
      <c r="AM599"/>
      <c r="AN599" s="281"/>
    </row>
    <row r="600" spans="1:64" s="4" customFormat="1" ht="12.75" customHeight="1">
      <c r="A600" s="21"/>
      <c r="B600" s="1698"/>
      <c r="C600" s="1698"/>
      <c r="D600" s="1698"/>
      <c r="E600" s="1698"/>
      <c r="F600" s="1698"/>
      <c r="G600" s="1698"/>
      <c r="H600" s="1698"/>
      <c r="I600" s="1698"/>
      <c r="J600" s="1698"/>
      <c r="K600" s="1698"/>
      <c r="L600" s="1698"/>
      <c r="M600" s="1698"/>
      <c r="N600" s="1698"/>
      <c r="O600" s="1698"/>
      <c r="P600" s="1698"/>
      <c r="Q600" s="1698"/>
      <c r="R600" s="1698"/>
      <c r="S600" s="1698"/>
      <c r="T600" s="1698"/>
      <c r="U600" s="1698"/>
      <c r="V600" s="1698"/>
      <c r="W600" s="1698"/>
      <c r="X600" s="1698"/>
      <c r="Y600" s="1698"/>
      <c r="Z600" s="1698"/>
      <c r="AA600" s="1698"/>
      <c r="AB600" s="1698"/>
      <c r="AC600" s="1698"/>
      <c r="AD600" s="1698"/>
      <c r="AE600" s="1698"/>
      <c r="AF600" s="1698"/>
      <c r="AG600" s="1698"/>
      <c r="AH600" s="1698"/>
      <c r="AI600" s="21"/>
      <c r="AJ600" s="21"/>
      <c r="AK600"/>
      <c r="AL600"/>
      <c r="AM600"/>
      <c r="AN600" s="669"/>
    </row>
    <row r="601" spans="1:64">
      <c r="B601" s="1698"/>
      <c r="C601" s="1698"/>
      <c r="D601" s="1698"/>
      <c r="E601" s="1698"/>
      <c r="F601" s="1698"/>
      <c r="G601" s="1698"/>
      <c r="H601" s="1698"/>
      <c r="I601" s="1698"/>
      <c r="J601" s="1698"/>
      <c r="K601" s="1698"/>
      <c r="L601" s="1698"/>
      <c r="M601" s="1698"/>
      <c r="N601" s="1698"/>
      <c r="O601" s="1698"/>
      <c r="P601" s="1698"/>
      <c r="Q601" s="1698"/>
      <c r="R601" s="1698"/>
      <c r="S601" s="1698"/>
      <c r="T601" s="1698"/>
      <c r="U601" s="1698"/>
      <c r="V601" s="1698"/>
      <c r="W601" s="1698"/>
      <c r="X601" s="1698"/>
      <c r="Y601" s="1698"/>
      <c r="Z601" s="1698"/>
      <c r="AA601" s="1698"/>
      <c r="AB601" s="1698"/>
      <c r="AC601" s="1698"/>
      <c r="AD601" s="1698"/>
      <c r="AE601" s="1698"/>
      <c r="AF601" s="1698"/>
      <c r="AG601" s="1698"/>
      <c r="AH601" s="1698"/>
      <c r="AK601"/>
      <c r="AL601"/>
      <c r="AM601"/>
      <c r="BD601" s="21"/>
      <c r="BE601" s="21"/>
      <c r="BF601" s="21"/>
      <c r="BG601" s="21"/>
      <c r="BH601" s="21"/>
    </row>
    <row r="602" spans="1:64" ht="12.75" customHeight="1">
      <c r="B602" s="1698"/>
      <c r="C602" s="1698"/>
      <c r="D602" s="1698"/>
      <c r="E602" s="1698"/>
      <c r="F602" s="1698"/>
      <c r="G602" s="1698"/>
      <c r="H602" s="1698"/>
      <c r="I602" s="1698"/>
      <c r="J602" s="1698"/>
      <c r="K602" s="1698"/>
      <c r="L602" s="1698"/>
      <c r="M602" s="1698"/>
      <c r="N602" s="1698"/>
      <c r="O602" s="1698"/>
      <c r="P602" s="1698"/>
      <c r="Q602" s="1698"/>
      <c r="R602" s="1698"/>
      <c r="S602" s="1698"/>
      <c r="T602" s="1698"/>
      <c r="U602" s="1698"/>
      <c r="V602" s="1698"/>
      <c r="W602" s="1698"/>
      <c r="X602" s="1698"/>
      <c r="Y602" s="1698"/>
      <c r="Z602" s="1698"/>
      <c r="AA602" s="1698"/>
      <c r="AB602" s="1698"/>
      <c r="AC602" s="1698"/>
      <c r="AD602" s="1698"/>
      <c r="AE602" s="1698"/>
      <c r="AF602" s="1698"/>
      <c r="AG602" s="1698"/>
      <c r="AH602" s="1698"/>
    </row>
    <row r="603" spans="1:64" ht="12.75" customHeight="1">
      <c r="E603" s="162"/>
    </row>
    <row r="604" spans="1:64">
      <c r="J604" s="1829" t="s">
        <v>795</v>
      </c>
      <c r="K604" s="1830"/>
      <c r="L604" s="1830"/>
      <c r="M604" s="1830"/>
      <c r="N604" s="1831"/>
      <c r="O604" s="1530" t="s">
        <v>1505</v>
      </c>
      <c r="P604" s="1531"/>
      <c r="Q604" s="1531"/>
      <c r="R604" s="1531"/>
      <c r="S604" s="1532"/>
      <c r="T604" s="1530" t="s">
        <v>1768</v>
      </c>
      <c r="U604" s="1531"/>
      <c r="V604" s="1531"/>
      <c r="W604" s="1531"/>
      <c r="X604" s="1532"/>
      <c r="Y604" s="1530" t="s">
        <v>1506</v>
      </c>
      <c r="Z604" s="1531"/>
      <c r="AA604" s="1531"/>
      <c r="AB604" s="1531"/>
      <c r="AC604" s="1532"/>
      <c r="AF604"/>
      <c r="AG604"/>
      <c r="AH604"/>
      <c r="AI604"/>
      <c r="AJ604"/>
    </row>
    <row r="605" spans="1:64">
      <c r="D605"/>
      <c r="E605"/>
      <c r="F605"/>
      <c r="G605"/>
      <c r="H605"/>
      <c r="I605"/>
      <c r="J605" s="1729"/>
      <c r="K605" s="1730"/>
      <c r="L605" s="1730"/>
      <c r="M605" s="1730"/>
      <c r="N605" s="1832"/>
      <c r="O605" s="1533"/>
      <c r="P605" s="1534"/>
      <c r="Q605" s="1534"/>
      <c r="R605" s="1534"/>
      <c r="S605" s="1535"/>
      <c r="T605" s="1533"/>
      <c r="U605" s="1534"/>
      <c r="V605" s="1534"/>
      <c r="W605" s="1534"/>
      <c r="X605" s="1535"/>
      <c r="Y605" s="1533"/>
      <c r="Z605" s="1534"/>
      <c r="AA605" s="1534"/>
      <c r="AB605" s="1534"/>
      <c r="AC605" s="1535"/>
      <c r="AF605"/>
      <c r="AG605"/>
      <c r="AH605"/>
      <c r="AI605"/>
      <c r="AJ605"/>
      <c r="AO605" s="38" t="s">
        <v>2228</v>
      </c>
      <c r="AR605" s="21" t="b">
        <f>$Y$614&gt;=10%</f>
        <v>1</v>
      </c>
    </row>
    <row r="606" spans="1:64">
      <c r="I606"/>
      <c r="J606" s="1729"/>
      <c r="K606" s="1730"/>
      <c r="L606" s="1730"/>
      <c r="M606" s="1730"/>
      <c r="N606" s="1832"/>
      <c r="O606" s="1533"/>
      <c r="P606" s="1534"/>
      <c r="Q606" s="1534"/>
      <c r="R606" s="1534"/>
      <c r="S606" s="1535"/>
      <c r="T606" s="1533"/>
      <c r="U606" s="1534"/>
      <c r="V606" s="1534"/>
      <c r="W606" s="1534"/>
      <c r="X606" s="1535"/>
      <c r="Y606" s="1533"/>
      <c r="Z606" s="1534"/>
      <c r="AA606" s="1534"/>
      <c r="AB606" s="1534"/>
      <c r="AC606" s="1535"/>
      <c r="AD606"/>
      <c r="AF606"/>
      <c r="AG606"/>
      <c r="AH606"/>
      <c r="AI606"/>
      <c r="AJ606"/>
      <c r="AO606" s="38" t="s">
        <v>2229</v>
      </c>
      <c r="AR606" s="955">
        <f>ROUNDUP(($O$614*10%),0)</f>
        <v>7</v>
      </c>
    </row>
    <row r="607" spans="1:64">
      <c r="D607"/>
      <c r="E607"/>
      <c r="F607"/>
      <c r="G607"/>
      <c r="H607"/>
      <c r="I607"/>
      <c r="J607" s="1729"/>
      <c r="K607" s="1730"/>
      <c r="L607" s="1730"/>
      <c r="M607" s="1730"/>
      <c r="N607" s="1832"/>
      <c r="O607" s="1533"/>
      <c r="P607" s="1534"/>
      <c r="Q607" s="1534"/>
      <c r="R607" s="1534"/>
      <c r="S607" s="1535"/>
      <c r="T607" s="1533"/>
      <c r="U607" s="1534"/>
      <c r="V607" s="1534"/>
      <c r="W607" s="1534"/>
      <c r="X607" s="1535"/>
      <c r="Y607" s="1533"/>
      <c r="Z607" s="1534"/>
      <c r="AA607" s="1534"/>
      <c r="AB607" s="1534"/>
      <c r="AC607" s="1535"/>
      <c r="AD607"/>
      <c r="AF607"/>
      <c r="AG607"/>
      <c r="AH607"/>
      <c r="AI607"/>
      <c r="AJ607"/>
      <c r="AO607" s="38" t="s">
        <v>2230</v>
      </c>
      <c r="AR607" s="21" t="s">
        <v>2231</v>
      </c>
    </row>
    <row r="608" spans="1:64">
      <c r="D608"/>
      <c r="E608"/>
      <c r="F608"/>
      <c r="G608"/>
      <c r="H608"/>
      <c r="I608"/>
      <c r="J608" s="1760" t="s">
        <v>225</v>
      </c>
      <c r="K608" s="1761"/>
      <c r="L608" s="1761"/>
      <c r="M608" s="1761"/>
      <c r="N608" s="1762"/>
      <c r="O608" s="1683">
        <f>Application!CM626</f>
        <v>0</v>
      </c>
      <c r="P608" s="1684"/>
      <c r="Q608" s="1684"/>
      <c r="R608" s="1684"/>
      <c r="S608" s="1685"/>
      <c r="T608" s="1683">
        <f>Application!DR627</f>
        <v>0</v>
      </c>
      <c r="U608" s="1684"/>
      <c r="V608" s="1684"/>
      <c r="W608" s="1684"/>
      <c r="X608" s="1685"/>
      <c r="Y608" s="1767">
        <f t="shared" ref="Y608:Y612" si="8">IF(T608&gt;0,T608/O608,0)</f>
        <v>0</v>
      </c>
      <c r="Z608" s="1768"/>
      <c r="AA608" s="1768"/>
      <c r="AB608" s="1768"/>
      <c r="AC608" s="1769"/>
      <c r="AD608"/>
      <c r="AF608"/>
      <c r="AG608"/>
      <c r="AH608"/>
      <c r="AI608"/>
      <c r="AJ608"/>
      <c r="AO608" s="955">
        <f>ROUNDUP((O608*10%),0)</f>
        <v>0</v>
      </c>
      <c r="AP608" s="206"/>
      <c r="AR608" s="956" t="b">
        <f>OR(SUM($T$608:T608)&gt;=$AR$606,T608&gt;=AO608)</f>
        <v>1</v>
      </c>
    </row>
    <row r="609" spans="1:60">
      <c r="D609"/>
      <c r="E609"/>
      <c r="F609"/>
      <c r="G609"/>
      <c r="H609"/>
      <c r="I609"/>
      <c r="J609" s="1760" t="s">
        <v>31</v>
      </c>
      <c r="K609" s="1761"/>
      <c r="L609" s="1761"/>
      <c r="M609" s="1761"/>
      <c r="N609" s="1762"/>
      <c r="O609" s="1683">
        <f>Application!CH626</f>
        <v>0</v>
      </c>
      <c r="P609" s="1684"/>
      <c r="Q609" s="1684"/>
      <c r="R609" s="1684"/>
      <c r="S609" s="1685"/>
      <c r="T609" s="1683">
        <f>Application!DM627</f>
        <v>0</v>
      </c>
      <c r="U609" s="1684"/>
      <c r="V609" s="1684"/>
      <c r="W609" s="1684"/>
      <c r="X609" s="1685"/>
      <c r="Y609" s="1767">
        <f t="shared" si="8"/>
        <v>0</v>
      </c>
      <c r="Z609" s="1768"/>
      <c r="AA609" s="1768"/>
      <c r="AB609" s="1768"/>
      <c r="AC609" s="1769"/>
      <c r="AD609"/>
      <c r="AF609"/>
      <c r="AG609"/>
      <c r="AH609"/>
      <c r="AI609"/>
      <c r="AJ609"/>
      <c r="AO609" s="955">
        <f t="shared" ref="AO609:AO613" si="9">ROUNDUP((O609*10%),0)</f>
        <v>0</v>
      </c>
      <c r="AP609" s="206"/>
      <c r="AR609" s="956" t="b">
        <f>OR(SUM($T$608:T609)&gt;=$AR$606,T609&gt;=AO609)</f>
        <v>1</v>
      </c>
    </row>
    <row r="610" spans="1:60">
      <c r="D610"/>
      <c r="E610"/>
      <c r="F610"/>
      <c r="G610"/>
      <c r="H610"/>
      <c r="I610"/>
      <c r="J610" s="1760" t="s">
        <v>265</v>
      </c>
      <c r="K610" s="1761"/>
      <c r="L610" s="1761"/>
      <c r="M610" s="1761"/>
      <c r="N610" s="1762"/>
      <c r="O610" s="1683">
        <f>Application!CC626</f>
        <v>32</v>
      </c>
      <c r="P610" s="1684"/>
      <c r="Q610" s="1684"/>
      <c r="R610" s="1684"/>
      <c r="S610" s="1685"/>
      <c r="T610" s="1683">
        <f>Application!DH627</f>
        <v>8</v>
      </c>
      <c r="U610" s="1684"/>
      <c r="V610" s="1684"/>
      <c r="W610" s="1684"/>
      <c r="X610" s="1685"/>
      <c r="Y610" s="1767">
        <f t="shared" si="8"/>
        <v>0.25</v>
      </c>
      <c r="Z610" s="1768"/>
      <c r="AA610" s="1768"/>
      <c r="AB610" s="1768"/>
      <c r="AC610" s="1769"/>
      <c r="AD610"/>
      <c r="AF610"/>
      <c r="AG610"/>
      <c r="AH610"/>
      <c r="AI610"/>
      <c r="AJ610"/>
      <c r="AO610" s="955">
        <f t="shared" si="9"/>
        <v>4</v>
      </c>
      <c r="AP610" s="206"/>
      <c r="AR610" s="956" t="b">
        <f>OR(SUM($T$608:T610)&gt;=$AR$606,T610&gt;=AO610)</f>
        <v>1</v>
      </c>
    </row>
    <row r="611" spans="1:60">
      <c r="D611"/>
      <c r="E611"/>
      <c r="F611"/>
      <c r="G611"/>
      <c r="H611"/>
      <c r="I611"/>
      <c r="J611" s="1760" t="s">
        <v>264</v>
      </c>
      <c r="K611" s="1761"/>
      <c r="L611" s="1761"/>
      <c r="M611" s="1761"/>
      <c r="N611" s="1762"/>
      <c r="O611" s="1683">
        <f>Application!BX626</f>
        <v>31</v>
      </c>
      <c r="P611" s="1684"/>
      <c r="Q611" s="1684"/>
      <c r="R611" s="1684"/>
      <c r="S611" s="1685"/>
      <c r="T611" s="1683">
        <f>Application!DC627</f>
        <v>7</v>
      </c>
      <c r="U611" s="1684"/>
      <c r="V611" s="1684"/>
      <c r="W611" s="1684"/>
      <c r="X611" s="1685"/>
      <c r="Y611" s="1767">
        <f t="shared" si="8"/>
        <v>0.22580645161290322</v>
      </c>
      <c r="Z611" s="1768"/>
      <c r="AA611" s="1768"/>
      <c r="AB611" s="1768"/>
      <c r="AC611" s="1769"/>
      <c r="AD611"/>
      <c r="AF611"/>
      <c r="AG611"/>
      <c r="AH611"/>
      <c r="AI611"/>
      <c r="AJ611"/>
      <c r="AO611" s="955">
        <f t="shared" si="9"/>
        <v>4</v>
      </c>
      <c r="AP611" s="206"/>
      <c r="AR611" s="956" t="b">
        <f>OR(SUM($T$608:T611)&gt;=$AR$606,T611&gt;=AO611)</f>
        <v>1</v>
      </c>
    </row>
    <row r="612" spans="1:60">
      <c r="D612"/>
      <c r="E612"/>
      <c r="F612"/>
      <c r="G612"/>
      <c r="H612"/>
      <c r="I612"/>
      <c r="J612" s="1760" t="s">
        <v>263</v>
      </c>
      <c r="K612" s="1761"/>
      <c r="L612" s="1761"/>
      <c r="M612" s="1761"/>
      <c r="N612" s="1762"/>
      <c r="O612" s="1683">
        <f>Application!BS626</f>
        <v>0</v>
      </c>
      <c r="P612" s="1684"/>
      <c r="Q612" s="1684"/>
      <c r="R612" s="1684"/>
      <c r="S612" s="1685"/>
      <c r="T612" s="1683">
        <f>Application!CX627</f>
        <v>0</v>
      </c>
      <c r="U612" s="1684"/>
      <c r="V612" s="1684"/>
      <c r="W612" s="1684"/>
      <c r="X612" s="1685"/>
      <c r="Y612" s="1767">
        <f t="shared" si="8"/>
        <v>0</v>
      </c>
      <c r="Z612" s="1768"/>
      <c r="AA612" s="1768"/>
      <c r="AB612" s="1768"/>
      <c r="AC612" s="1769"/>
      <c r="AD612"/>
      <c r="AF612"/>
      <c r="AG612"/>
      <c r="AH612"/>
      <c r="AI612"/>
      <c r="AJ612"/>
      <c r="AO612" s="955">
        <f t="shared" si="9"/>
        <v>0</v>
      </c>
      <c r="AP612" s="206"/>
      <c r="AR612" s="956" t="b">
        <f>OR(SUM($T$608:T612)&gt;=$AR$606,T612&gt;=AO612)</f>
        <v>1</v>
      </c>
    </row>
    <row r="613" spans="1:60">
      <c r="D613"/>
      <c r="E613"/>
      <c r="F613"/>
      <c r="G613"/>
      <c r="H613"/>
      <c r="I613"/>
      <c r="J613" s="1760" t="s">
        <v>615</v>
      </c>
      <c r="K613" s="1761"/>
      <c r="L613" s="1761"/>
      <c r="M613" s="1761"/>
      <c r="N613" s="1762"/>
      <c r="O613" s="1683">
        <f>Application!BN626</f>
        <v>0</v>
      </c>
      <c r="P613" s="1684"/>
      <c r="Q613" s="1684"/>
      <c r="R613" s="1684"/>
      <c r="S613" s="1685"/>
      <c r="T613" s="1683">
        <f>Application!CS627</f>
        <v>0</v>
      </c>
      <c r="U613" s="1684"/>
      <c r="V613" s="1684"/>
      <c r="W613" s="1684"/>
      <c r="X613" s="1685"/>
      <c r="Y613" s="1767">
        <f>IF(T613&gt;0,T613/O613,0)</f>
        <v>0</v>
      </c>
      <c r="Z613" s="1768"/>
      <c r="AA613" s="1768"/>
      <c r="AB613" s="1768"/>
      <c r="AC613" s="1769"/>
      <c r="AD613"/>
      <c r="AF613"/>
      <c r="AG613"/>
      <c r="AH613"/>
      <c r="AI613"/>
      <c r="AJ613"/>
      <c r="AO613" s="955">
        <f t="shared" si="9"/>
        <v>0</v>
      </c>
      <c r="AP613" s="206"/>
      <c r="AR613" s="956" t="b">
        <f>OR(SUM($T$608:T613)&gt;=$AR$606,T613&gt;=AO613)</f>
        <v>1</v>
      </c>
    </row>
    <row r="614" spans="1:60">
      <c r="D614"/>
      <c r="E614"/>
      <c r="F614"/>
      <c r="G614"/>
      <c r="H614"/>
      <c r="I614"/>
      <c r="J614" s="1229" t="s">
        <v>876</v>
      </c>
      <c r="K614" s="1230"/>
      <c r="L614" s="1230"/>
      <c r="M614" s="1230"/>
      <c r="N614" s="1231"/>
      <c r="O614" s="1749">
        <f>SUM(O608:S613)</f>
        <v>63</v>
      </c>
      <c r="P614" s="1750"/>
      <c r="Q614" s="1750"/>
      <c r="R614" s="1750"/>
      <c r="S614" s="1751"/>
      <c r="T614" s="1749">
        <f>SUM(T608:X613)</f>
        <v>15</v>
      </c>
      <c r="U614" s="1750"/>
      <c r="V614" s="1750"/>
      <c r="W614" s="1750"/>
      <c r="X614" s="1751"/>
      <c r="Y614" s="1826">
        <f>IF(T614&gt;0,T614/O614,0)</f>
        <v>0.23809523809523808</v>
      </c>
      <c r="Z614" s="1827"/>
      <c r="AA614" s="1827"/>
      <c r="AB614" s="1827"/>
      <c r="AC614" s="182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61" t="s">
        <v>1509</v>
      </c>
      <c r="B617" s="1062"/>
      <c r="C617" s="1062"/>
      <c r="D617" s="1062"/>
      <c r="E617" s="1062"/>
      <c r="F617" s="1062"/>
      <c r="G617" s="1062"/>
      <c r="H617" s="1062"/>
      <c r="I617" s="1062"/>
      <c r="J617" s="1062"/>
      <c r="K617" s="1062"/>
      <c r="L617" s="1062"/>
      <c r="M617" s="1062"/>
      <c r="N617" s="1062"/>
      <c r="O617" s="1062"/>
      <c r="P617" s="1062"/>
      <c r="Q617" s="1062"/>
      <c r="R617" s="1062"/>
      <c r="S617" s="1062"/>
      <c r="T617" s="1062"/>
      <c r="U617" s="1062"/>
      <c r="V617" s="1062"/>
      <c r="W617" s="1062"/>
      <c r="X617" s="1062"/>
      <c r="Y617" s="1062"/>
      <c r="Z617" s="1062"/>
      <c r="AA617" s="1062"/>
      <c r="AB617" s="1062"/>
      <c r="AC617" s="1062"/>
      <c r="AD617" s="1062"/>
      <c r="AE617" s="1062"/>
      <c r="AF617" s="1062"/>
      <c r="AG617" s="1062"/>
      <c r="AH617" s="1062"/>
      <c r="AI617" s="1063"/>
      <c r="AJ617" s="1806">
        <f>IF(AND(AR605,AR608,AR609,AR610,AR611,AR612,AR613),2,0)</f>
        <v>2</v>
      </c>
      <c r="AK617" s="180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3" t="s">
        <v>180</v>
      </c>
      <c r="B619" s="1833"/>
      <c r="C619" s="1833"/>
      <c r="D619" s="1833"/>
      <c r="E619" s="1833"/>
      <c r="F619" s="1833"/>
      <c r="G619" s="1833"/>
      <c r="H619" s="1833"/>
      <c r="I619" s="1833"/>
      <c r="J619" s="1833"/>
      <c r="K619" s="1833"/>
      <c r="L619" s="1833"/>
      <c r="M619" s="1833"/>
      <c r="N619" s="1833"/>
      <c r="O619" s="1833"/>
      <c r="P619" s="1833"/>
      <c r="Q619" s="1833"/>
      <c r="R619" s="1833"/>
      <c r="S619" s="1833"/>
      <c r="T619" s="1833"/>
      <c r="U619" s="1833"/>
      <c r="V619" s="1833"/>
      <c r="W619" s="1833"/>
      <c r="X619" s="1833"/>
      <c r="Y619" s="1833"/>
      <c r="Z619" s="1833"/>
      <c r="AA619" s="1833"/>
      <c r="AB619" s="1833"/>
      <c r="AC619" s="1833"/>
      <c r="AD619" s="1833"/>
      <c r="AE619" s="1833"/>
      <c r="AF619" s="1833"/>
      <c r="AG619" s="1833"/>
      <c r="AH619" s="1833"/>
      <c r="AI619" s="1833"/>
      <c r="AJ619" s="1833"/>
      <c r="AK619" s="1312">
        <f>IF($E$592=Application!G730,$AC$592+$AJ$617,0)</f>
        <v>52</v>
      </c>
      <c r="AL619" s="1313"/>
      <c r="AM619" s="1314"/>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700" t="s">
        <v>1510</v>
      </c>
      <c r="C623" s="1700"/>
      <c r="D623" s="1700"/>
      <c r="E623" s="1700"/>
      <c r="F623" s="1700"/>
      <c r="G623" s="1700"/>
      <c r="H623" s="1700"/>
      <c r="I623" s="1700"/>
      <c r="J623" s="1700"/>
      <c r="K623" s="1700"/>
      <c r="L623" s="1700"/>
      <c r="M623" s="1700"/>
      <c r="N623" s="1700"/>
      <c r="O623" s="1700"/>
      <c r="P623" s="1700"/>
      <c r="Q623" s="1700"/>
      <c r="R623" s="1700"/>
      <c r="S623" s="1700"/>
      <c r="T623" s="1700"/>
      <c r="U623" s="1700"/>
      <c r="V623" s="1700"/>
      <c r="W623" s="1700"/>
      <c r="X623" s="1700"/>
      <c r="Y623" s="1700"/>
      <c r="Z623" s="1700"/>
      <c r="AA623" s="1700"/>
      <c r="AB623" s="1700"/>
      <c r="AC623" s="1700"/>
      <c r="AD623" s="1700"/>
      <c r="AE623" s="1700"/>
      <c r="AF623" s="1700"/>
      <c r="AG623" s="1700"/>
      <c r="AH623" s="1700"/>
      <c r="AI623" s="1700"/>
      <c r="AJ623" s="1700"/>
      <c r="AK623" s="4"/>
      <c r="AL623" s="4"/>
      <c r="AM623" s="4"/>
    </row>
    <row r="624" spans="1:60">
      <c r="A624" s="4"/>
      <c r="B624" s="1700"/>
      <c r="C624" s="1700"/>
      <c r="D624" s="1700"/>
      <c r="E624" s="1700"/>
      <c r="F624" s="1700"/>
      <c r="G624" s="1700"/>
      <c r="H624" s="1700"/>
      <c r="I624" s="1700"/>
      <c r="J624" s="1700"/>
      <c r="K624" s="1700"/>
      <c r="L624" s="1700"/>
      <c r="M624" s="1700"/>
      <c r="N624" s="1700"/>
      <c r="O624" s="1700"/>
      <c r="P624" s="1700"/>
      <c r="Q624" s="1700"/>
      <c r="R624" s="1700"/>
      <c r="S624" s="1700"/>
      <c r="T624" s="1700"/>
      <c r="U624" s="1700"/>
      <c r="V624" s="1700"/>
      <c r="W624" s="1700"/>
      <c r="X624" s="1700"/>
      <c r="Y624" s="1700"/>
      <c r="Z624" s="1700"/>
      <c r="AA624" s="1700"/>
      <c r="AB624" s="1700"/>
      <c r="AC624" s="1700"/>
      <c r="AD624" s="1700"/>
      <c r="AE624" s="1700"/>
      <c r="AF624" s="1700"/>
      <c r="AG624" s="1700"/>
      <c r="AH624" s="1700"/>
      <c r="AI624" s="1700"/>
      <c r="AJ624" s="170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75" t="s">
        <v>108</v>
      </c>
      <c r="D627" s="1175"/>
      <c r="E627" s="185"/>
      <c r="F627" s="1909" t="s">
        <v>2221</v>
      </c>
      <c r="G627" s="1910"/>
      <c r="H627" s="1910"/>
      <c r="I627" s="1910"/>
      <c r="J627" s="1910"/>
      <c r="K627" s="1910"/>
      <c r="L627" s="1910"/>
      <c r="M627" s="1910"/>
      <c r="N627" s="1910"/>
      <c r="O627" s="1910"/>
      <c r="P627" s="1910"/>
      <c r="Q627" s="1910"/>
      <c r="R627" s="1910"/>
      <c r="S627" s="1910"/>
      <c r="T627" s="1910"/>
      <c r="U627" s="1910"/>
      <c r="V627" s="1910"/>
      <c r="W627" s="1910"/>
      <c r="X627" s="1910"/>
      <c r="Y627" s="1910"/>
      <c r="Z627" s="1910"/>
      <c r="AA627" s="1910"/>
      <c r="AB627" s="1910"/>
      <c r="AC627" s="1910"/>
      <c r="AD627" s="1910"/>
      <c r="AE627" s="1911"/>
      <c r="AF627" s="175"/>
      <c r="AG627" s="1037" t="s">
        <v>938</v>
      </c>
      <c r="AH627" s="1037"/>
      <c r="AI627" s="1037"/>
      <c r="AJ627" s="1037"/>
      <c r="AK627" s="4"/>
      <c r="AL627" s="4"/>
      <c r="AM627" s="4"/>
      <c r="AO627" s="4"/>
      <c r="AP627" s="35"/>
    </row>
    <row r="628" spans="1:44">
      <c r="A628" s="4"/>
      <c r="B628" s="20"/>
      <c r="C628" s="45"/>
      <c r="D628" s="4"/>
      <c r="E628" s="185"/>
      <c r="F628" s="1912"/>
      <c r="G628" s="1913"/>
      <c r="H628" s="1913"/>
      <c r="I628" s="1913"/>
      <c r="J628" s="1913"/>
      <c r="K628" s="1913"/>
      <c r="L628" s="1913"/>
      <c r="M628" s="1913"/>
      <c r="N628" s="1913"/>
      <c r="O628" s="1913"/>
      <c r="P628" s="1913"/>
      <c r="Q628" s="1913"/>
      <c r="R628" s="1913"/>
      <c r="S628" s="1913"/>
      <c r="T628" s="1913"/>
      <c r="U628" s="1913"/>
      <c r="V628" s="1913"/>
      <c r="W628" s="1913"/>
      <c r="X628" s="1913"/>
      <c r="Y628" s="1913"/>
      <c r="Z628" s="1913"/>
      <c r="AA628" s="1913"/>
      <c r="AB628" s="1913"/>
      <c r="AC628" s="1913"/>
      <c r="AD628" s="1913"/>
      <c r="AE628" s="1914"/>
      <c r="AF628" s="175"/>
      <c r="AG628" s="175"/>
      <c r="AH628" s="175"/>
      <c r="AI628" s="175"/>
      <c r="AJ628" s="4"/>
      <c r="AK628" s="4"/>
      <c r="AL628" s="4"/>
      <c r="AM628" s="4"/>
    </row>
    <row r="629" spans="1:44" ht="13.65" customHeight="1">
      <c r="A629" s="4"/>
      <c r="B629" s="20"/>
      <c r="C629" s="45"/>
      <c r="D629" s="4"/>
      <c r="E629" s="185"/>
      <c r="F629" s="1915"/>
      <c r="G629" s="1916"/>
      <c r="H629" s="1916"/>
      <c r="I629" s="1916"/>
      <c r="J629" s="1916"/>
      <c r="K629" s="1916"/>
      <c r="L629" s="1916"/>
      <c r="M629" s="1916"/>
      <c r="N629" s="1916"/>
      <c r="O629" s="1916"/>
      <c r="P629" s="1916"/>
      <c r="Q629" s="1916"/>
      <c r="R629" s="1916"/>
      <c r="S629" s="1916"/>
      <c r="T629" s="1916"/>
      <c r="U629" s="1916"/>
      <c r="V629" s="1916"/>
      <c r="W629" s="1916"/>
      <c r="X629" s="1916"/>
      <c r="Y629" s="1916"/>
      <c r="Z629" s="1916"/>
      <c r="AA629" s="1916"/>
      <c r="AB629" s="1916"/>
      <c r="AC629" s="1916"/>
      <c r="AD629" s="1916"/>
      <c r="AE629" s="1917"/>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700" t="s">
        <v>2226</v>
      </c>
      <c r="C631" s="1700"/>
      <c r="D631" s="1700"/>
      <c r="E631" s="1700"/>
      <c r="F631" s="1700"/>
      <c r="G631" s="1700"/>
      <c r="H631" s="1700"/>
      <c r="I631" s="1700"/>
      <c r="J631" s="1700"/>
      <c r="K631" s="1700"/>
      <c r="L631" s="1700"/>
      <c r="M631" s="1700"/>
      <c r="N631" s="1700"/>
      <c r="O631" s="1700"/>
      <c r="P631" s="1700"/>
      <c r="Q631" s="1700"/>
      <c r="R631" s="1700"/>
      <c r="S631" s="1700"/>
      <c r="T631" s="1700"/>
      <c r="U631" s="1700"/>
      <c r="V631" s="1700"/>
      <c r="W631" s="1700"/>
      <c r="X631" s="1700"/>
      <c r="Y631" s="1700"/>
      <c r="Z631" s="1700"/>
      <c r="AA631" s="1700"/>
      <c r="AB631" s="1700"/>
      <c r="AC631" s="1700"/>
      <c r="AD631" s="1700"/>
      <c r="AE631" s="1700"/>
      <c r="AF631" s="1700"/>
      <c r="AG631" s="1700"/>
      <c r="AH631" s="1700"/>
      <c r="AI631" s="175"/>
      <c r="AJ631" s="4"/>
      <c r="AK631" s="4"/>
      <c r="AL631" s="4"/>
      <c r="AM631" s="4"/>
      <c r="AN631" s="79"/>
    </row>
    <row r="632" spans="1:44" ht="13.65" customHeight="1">
      <c r="B632" s="1700"/>
      <c r="C632" s="1700"/>
      <c r="D632" s="1700"/>
      <c r="E632" s="1700"/>
      <c r="F632" s="1700"/>
      <c r="G632" s="1700"/>
      <c r="H632" s="1700"/>
      <c r="I632" s="1700"/>
      <c r="J632" s="1700"/>
      <c r="K632" s="1700"/>
      <c r="L632" s="1700"/>
      <c r="M632" s="1700"/>
      <c r="N632" s="1700"/>
      <c r="O632" s="1700"/>
      <c r="P632" s="1700"/>
      <c r="Q632" s="1700"/>
      <c r="R632" s="1700"/>
      <c r="S632" s="1700"/>
      <c r="T632" s="1700"/>
      <c r="U632" s="1700"/>
      <c r="V632" s="1700"/>
      <c r="W632" s="1700"/>
      <c r="X632" s="1700"/>
      <c r="Y632" s="1700"/>
      <c r="Z632" s="1700"/>
      <c r="AA632" s="1700"/>
      <c r="AB632" s="1700"/>
      <c r="AC632" s="1700"/>
      <c r="AD632" s="1700"/>
      <c r="AE632" s="1700"/>
      <c r="AF632" s="1700"/>
      <c r="AG632" s="1700"/>
      <c r="AH632" s="1700"/>
      <c r="AI632" s="162"/>
      <c r="AJ632" s="4"/>
      <c r="AK632" s="4"/>
      <c r="AL632" s="4"/>
      <c r="AM632" s="4"/>
      <c r="AN632" s="79"/>
      <c r="AR632" s="41"/>
    </row>
    <row r="633" spans="1:44" ht="13.65" customHeight="1">
      <c r="A633" s="4"/>
      <c r="B633" s="1700"/>
      <c r="C633" s="1700"/>
      <c r="D633" s="1700"/>
      <c r="E633" s="1700"/>
      <c r="F633" s="1700"/>
      <c r="G633" s="1700"/>
      <c r="H633" s="1700"/>
      <c r="I633" s="1700"/>
      <c r="J633" s="1700"/>
      <c r="K633" s="1700"/>
      <c r="L633" s="1700"/>
      <c r="M633" s="1700"/>
      <c r="N633" s="1700"/>
      <c r="O633" s="1700"/>
      <c r="P633" s="1700"/>
      <c r="Q633" s="1700"/>
      <c r="R633" s="1700"/>
      <c r="S633" s="1700"/>
      <c r="T633" s="1700"/>
      <c r="U633" s="1700"/>
      <c r="V633" s="1700"/>
      <c r="W633" s="1700"/>
      <c r="X633" s="1700"/>
      <c r="Y633" s="1700"/>
      <c r="Z633" s="1700"/>
      <c r="AA633" s="1700"/>
      <c r="AB633" s="1700"/>
      <c r="AC633" s="1700"/>
      <c r="AD633" s="1700"/>
      <c r="AE633" s="1700"/>
      <c r="AF633" s="1700"/>
      <c r="AG633" s="1700"/>
      <c r="AH633" s="1700"/>
      <c r="AI633" s="162"/>
      <c r="AJ633" s="4"/>
      <c r="AK633" s="4"/>
      <c r="AL633" s="4"/>
      <c r="AM633" s="4"/>
      <c r="AN633" s="79"/>
    </row>
    <row r="634" spans="1:44" ht="13.65" customHeight="1">
      <c r="A634" s="4"/>
      <c r="B634" s="1700"/>
      <c r="C634" s="1700"/>
      <c r="D634" s="1700"/>
      <c r="E634" s="1700"/>
      <c r="F634" s="1700"/>
      <c r="G634" s="1700"/>
      <c r="H634" s="1700"/>
      <c r="I634" s="1700"/>
      <c r="J634" s="1700"/>
      <c r="K634" s="1700"/>
      <c r="L634" s="1700"/>
      <c r="M634" s="1700"/>
      <c r="N634" s="1700"/>
      <c r="O634" s="1700"/>
      <c r="P634" s="1700"/>
      <c r="Q634" s="1700"/>
      <c r="R634" s="1700"/>
      <c r="S634" s="1700"/>
      <c r="T634" s="1700"/>
      <c r="U634" s="1700"/>
      <c r="V634" s="1700"/>
      <c r="W634" s="1700"/>
      <c r="X634" s="1700"/>
      <c r="Y634" s="1700"/>
      <c r="Z634" s="1700"/>
      <c r="AA634" s="1700"/>
      <c r="AB634" s="1700"/>
      <c r="AC634" s="1700"/>
      <c r="AD634" s="1700"/>
      <c r="AE634" s="1700"/>
      <c r="AF634" s="1700"/>
      <c r="AG634" s="1700"/>
      <c r="AH634" s="1700"/>
      <c r="AI634" s="162"/>
      <c r="AJ634" s="4"/>
      <c r="AK634" s="4"/>
      <c r="AL634" s="4"/>
      <c r="AM634" s="4"/>
      <c r="AN634" s="79"/>
    </row>
    <row r="635" spans="1:44" ht="13.65" customHeight="1">
      <c r="A635" s="4"/>
      <c r="B635" s="1700"/>
      <c r="C635" s="1700"/>
      <c r="D635" s="1700"/>
      <c r="E635" s="1700"/>
      <c r="F635" s="1700"/>
      <c r="G635" s="1700"/>
      <c r="H635" s="1700"/>
      <c r="I635" s="1700"/>
      <c r="J635" s="1700"/>
      <c r="K635" s="1700"/>
      <c r="L635" s="1700"/>
      <c r="M635" s="1700"/>
      <c r="N635" s="1700"/>
      <c r="O635" s="1700"/>
      <c r="P635" s="1700"/>
      <c r="Q635" s="1700"/>
      <c r="R635" s="1700"/>
      <c r="S635" s="1700"/>
      <c r="T635" s="1700"/>
      <c r="U635" s="1700"/>
      <c r="V635" s="1700"/>
      <c r="W635" s="1700"/>
      <c r="X635" s="1700"/>
      <c r="Y635" s="1700"/>
      <c r="Z635" s="1700"/>
      <c r="AA635" s="1700"/>
      <c r="AB635" s="1700"/>
      <c r="AC635" s="1700"/>
      <c r="AD635" s="1700"/>
      <c r="AE635" s="1700"/>
      <c r="AF635" s="1700"/>
      <c r="AG635" s="1700"/>
      <c r="AH635" s="1700"/>
      <c r="AI635" s="162"/>
      <c r="AJ635" s="4"/>
      <c r="AK635" s="4"/>
      <c r="AL635" s="4"/>
      <c r="AM635" s="4"/>
      <c r="AN635" s="79"/>
    </row>
    <row r="636" spans="1:44" ht="13.65" customHeight="1">
      <c r="A636" s="4"/>
      <c r="B636" s="1700"/>
      <c r="C636" s="1700"/>
      <c r="D636" s="1700"/>
      <c r="E636" s="1700"/>
      <c r="F636" s="1700"/>
      <c r="G636" s="1700"/>
      <c r="H636" s="1700"/>
      <c r="I636" s="1700"/>
      <c r="J636" s="1700"/>
      <c r="K636" s="1700"/>
      <c r="L636" s="1700"/>
      <c r="M636" s="1700"/>
      <c r="N636" s="1700"/>
      <c r="O636" s="1700"/>
      <c r="P636" s="1700"/>
      <c r="Q636" s="1700"/>
      <c r="R636" s="1700"/>
      <c r="S636" s="1700"/>
      <c r="T636" s="1700"/>
      <c r="U636" s="1700"/>
      <c r="V636" s="1700"/>
      <c r="W636" s="1700"/>
      <c r="X636" s="1700"/>
      <c r="Y636" s="1700"/>
      <c r="Z636" s="1700"/>
      <c r="AA636" s="1700"/>
      <c r="AB636" s="1700"/>
      <c r="AC636" s="1700"/>
      <c r="AD636" s="1700"/>
      <c r="AE636" s="1700"/>
      <c r="AF636" s="1700"/>
      <c r="AG636" s="1700"/>
      <c r="AH636" s="1700"/>
      <c r="AI636" s="162"/>
      <c r="AJ636" s="4"/>
      <c r="AK636" s="4"/>
      <c r="AL636" s="4"/>
      <c r="AM636" s="4"/>
      <c r="AN636" s="79"/>
    </row>
    <row r="637" spans="1:44" ht="13.65" customHeight="1">
      <c r="A637" s="4"/>
      <c r="B637" s="1700"/>
      <c r="C637" s="1700"/>
      <c r="D637" s="1700"/>
      <c r="E637" s="1700"/>
      <c r="F637" s="1700"/>
      <c r="G637" s="1700"/>
      <c r="H637" s="1700"/>
      <c r="I637" s="1700"/>
      <c r="J637" s="1700"/>
      <c r="K637" s="1700"/>
      <c r="L637" s="1700"/>
      <c r="M637" s="1700"/>
      <c r="N637" s="1700"/>
      <c r="O637" s="1700"/>
      <c r="P637" s="1700"/>
      <c r="Q637" s="1700"/>
      <c r="R637" s="1700"/>
      <c r="S637" s="1700"/>
      <c r="T637" s="1700"/>
      <c r="U637" s="1700"/>
      <c r="V637" s="1700"/>
      <c r="W637" s="1700"/>
      <c r="X637" s="1700"/>
      <c r="Y637" s="1700"/>
      <c r="Z637" s="1700"/>
      <c r="AA637" s="1700"/>
      <c r="AB637" s="1700"/>
      <c r="AC637" s="1700"/>
      <c r="AD637" s="1700"/>
      <c r="AE637" s="1700"/>
      <c r="AF637" s="1700"/>
      <c r="AG637" s="1700"/>
      <c r="AH637" s="1700"/>
      <c r="AI637" s="162"/>
      <c r="AJ637" s="4"/>
      <c r="AK637" s="4"/>
      <c r="AL637" s="4"/>
      <c r="AM637" s="4"/>
      <c r="AN637" s="79"/>
    </row>
    <row r="638" spans="1:44">
      <c r="A638" s="4"/>
      <c r="B638" s="1700"/>
      <c r="C638" s="1700"/>
      <c r="D638" s="1700"/>
      <c r="E638" s="1700"/>
      <c r="F638" s="1700"/>
      <c r="G638" s="1700"/>
      <c r="H638" s="1700"/>
      <c r="I638" s="1700"/>
      <c r="J638" s="1700"/>
      <c r="K638" s="1700"/>
      <c r="L638" s="1700"/>
      <c r="M638" s="1700"/>
      <c r="N638" s="1700"/>
      <c r="O638" s="1700"/>
      <c r="P638" s="1700"/>
      <c r="Q638" s="1700"/>
      <c r="R638" s="1700"/>
      <c r="S638" s="1700"/>
      <c r="T638" s="1700"/>
      <c r="U638" s="1700"/>
      <c r="V638" s="1700"/>
      <c r="W638" s="1700"/>
      <c r="X638" s="1700"/>
      <c r="Y638" s="1700"/>
      <c r="Z638" s="1700"/>
      <c r="AA638" s="1700"/>
      <c r="AB638" s="1700"/>
      <c r="AC638" s="1700"/>
      <c r="AD638" s="1700"/>
      <c r="AE638" s="1700"/>
      <c r="AF638" s="1700"/>
      <c r="AG638" s="1700"/>
      <c r="AH638" s="1700"/>
      <c r="AI638" s="162"/>
      <c r="AJ638" s="4"/>
      <c r="AK638" s="4"/>
      <c r="AL638" s="4"/>
      <c r="AM638" s="4"/>
      <c r="AN638" s="79"/>
    </row>
    <row r="639" spans="1:44">
      <c r="A639" s="4"/>
      <c r="B639" s="1700"/>
      <c r="C639" s="1700"/>
      <c r="D639" s="1700"/>
      <c r="E639" s="1700"/>
      <c r="F639" s="1700"/>
      <c r="G639" s="1700"/>
      <c r="H639" s="1700"/>
      <c r="I639" s="1700"/>
      <c r="J639" s="1700"/>
      <c r="K639" s="1700"/>
      <c r="L639" s="1700"/>
      <c r="M639" s="1700"/>
      <c r="N639" s="1700"/>
      <c r="O639" s="1700"/>
      <c r="P639" s="1700"/>
      <c r="Q639" s="1700"/>
      <c r="R639" s="1700"/>
      <c r="S639" s="1700"/>
      <c r="T639" s="1700"/>
      <c r="U639" s="1700"/>
      <c r="V639" s="1700"/>
      <c r="W639" s="1700"/>
      <c r="X639" s="1700"/>
      <c r="Y639" s="1700"/>
      <c r="Z639" s="1700"/>
      <c r="AA639" s="1700"/>
      <c r="AB639" s="1700"/>
      <c r="AC639" s="1700"/>
      <c r="AD639" s="1700"/>
      <c r="AE639" s="1700"/>
      <c r="AF639" s="1700"/>
      <c r="AG639" s="1700"/>
      <c r="AH639" s="1700"/>
      <c r="AI639" s="162"/>
      <c r="AJ639" s="4"/>
      <c r="AK639" s="4"/>
      <c r="AL639" s="4"/>
      <c r="AM639" s="4"/>
      <c r="AN639" s="79"/>
    </row>
    <row r="640" spans="1:44">
      <c r="A640" s="4"/>
      <c r="B640" s="1700"/>
      <c r="C640" s="1700"/>
      <c r="D640" s="1700"/>
      <c r="E640" s="1700"/>
      <c r="F640" s="1700"/>
      <c r="G640" s="1700"/>
      <c r="H640" s="1700"/>
      <c r="I640" s="1700"/>
      <c r="J640" s="1700"/>
      <c r="K640" s="1700"/>
      <c r="L640" s="1700"/>
      <c r="M640" s="1700"/>
      <c r="N640" s="1700"/>
      <c r="O640" s="1700"/>
      <c r="P640" s="1700"/>
      <c r="Q640" s="1700"/>
      <c r="R640" s="1700"/>
      <c r="S640" s="1700"/>
      <c r="T640" s="1700"/>
      <c r="U640" s="1700"/>
      <c r="V640" s="1700"/>
      <c r="W640" s="1700"/>
      <c r="X640" s="1700"/>
      <c r="Y640" s="1700"/>
      <c r="Z640" s="1700"/>
      <c r="AA640" s="1700"/>
      <c r="AB640" s="1700"/>
      <c r="AC640" s="1700"/>
      <c r="AD640" s="1700"/>
      <c r="AE640" s="1700"/>
      <c r="AF640" s="1700"/>
      <c r="AG640" s="1700"/>
      <c r="AH640" s="1700"/>
      <c r="AI640" s="162"/>
      <c r="AJ640" s="4"/>
      <c r="AK640" s="4"/>
      <c r="AL640" s="4"/>
      <c r="AM640" s="4"/>
      <c r="AN640" s="79"/>
    </row>
    <row r="641" spans="1:60">
      <c r="A641" s="4"/>
      <c r="B641" s="1700"/>
      <c r="C641" s="1700"/>
      <c r="D641" s="1700"/>
      <c r="E641" s="1700"/>
      <c r="F641" s="1700"/>
      <c r="G641" s="1700"/>
      <c r="H641" s="1700"/>
      <c r="I641" s="1700"/>
      <c r="J641" s="1700"/>
      <c r="K641" s="1700"/>
      <c r="L641" s="1700"/>
      <c r="M641" s="1700"/>
      <c r="N641" s="1700"/>
      <c r="O641" s="1700"/>
      <c r="P641" s="1700"/>
      <c r="Q641" s="1700"/>
      <c r="R641" s="1700"/>
      <c r="S641" s="1700"/>
      <c r="T641" s="1700"/>
      <c r="U641" s="1700"/>
      <c r="V641" s="1700"/>
      <c r="W641" s="1700"/>
      <c r="X641" s="1700"/>
      <c r="Y641" s="1700"/>
      <c r="Z641" s="1700"/>
      <c r="AA641" s="1700"/>
      <c r="AB641" s="1700"/>
      <c r="AC641" s="1700"/>
      <c r="AD641" s="1700"/>
      <c r="AE641" s="1700"/>
      <c r="AF641" s="1700"/>
      <c r="AG641" s="1700"/>
      <c r="AH641" s="1700"/>
      <c r="AI641" s="162"/>
      <c r="AJ641" s="4"/>
      <c r="AK641" s="4"/>
      <c r="AL641" s="4"/>
      <c r="AM641" s="4"/>
      <c r="AN641" s="79"/>
    </row>
    <row r="642" spans="1:60" s="644" customFormat="1" ht="12.45" customHeight="1">
      <c r="A642" s="4"/>
      <c r="B642" s="1700"/>
      <c r="C642" s="1700"/>
      <c r="D642" s="1700"/>
      <c r="E642" s="1700"/>
      <c r="F642" s="1700"/>
      <c r="G642" s="1700"/>
      <c r="H642" s="1700"/>
      <c r="I642" s="1700"/>
      <c r="J642" s="1700"/>
      <c r="K642" s="1700"/>
      <c r="L642" s="1700"/>
      <c r="M642" s="1700"/>
      <c r="N642" s="1700"/>
      <c r="O642" s="1700"/>
      <c r="P642" s="1700"/>
      <c r="Q642" s="1700"/>
      <c r="R642" s="1700"/>
      <c r="S642" s="1700"/>
      <c r="T642" s="1700"/>
      <c r="U642" s="1700"/>
      <c r="V642" s="1700"/>
      <c r="W642" s="1700"/>
      <c r="X642" s="1700"/>
      <c r="Y642" s="1700"/>
      <c r="Z642" s="1700"/>
      <c r="AA642" s="1700"/>
      <c r="AB642" s="1700"/>
      <c r="AC642" s="1700"/>
      <c r="AD642" s="1700"/>
      <c r="AE642" s="1700"/>
      <c r="AF642" s="1700"/>
      <c r="AG642" s="1700"/>
      <c r="AH642" s="1700"/>
      <c r="AI642" s="162"/>
      <c r="AJ642" s="4"/>
      <c r="AK642" s="4"/>
      <c r="AL642" s="4"/>
      <c r="AM642" s="4"/>
      <c r="AN642" s="678"/>
      <c r="BD642" s="646"/>
      <c r="BE642" s="646"/>
      <c r="BF642" s="646"/>
      <c r="BG642" s="646"/>
      <c r="BH642" s="646"/>
    </row>
    <row r="643" spans="1:60">
      <c r="A643" s="4"/>
      <c r="B643" s="1700"/>
      <c r="C643" s="1700"/>
      <c r="D643" s="1700"/>
      <c r="E643" s="1700"/>
      <c r="F643" s="1700"/>
      <c r="G643" s="1700"/>
      <c r="H643" s="1700"/>
      <c r="I643" s="1700"/>
      <c r="J643" s="1700"/>
      <c r="K643" s="1700"/>
      <c r="L643" s="1700"/>
      <c r="M643" s="1700"/>
      <c r="N643" s="1700"/>
      <c r="O643" s="1700"/>
      <c r="P643" s="1700"/>
      <c r="Q643" s="1700"/>
      <c r="R643" s="1700"/>
      <c r="S643" s="1700"/>
      <c r="T643" s="1700"/>
      <c r="U643" s="1700"/>
      <c r="V643" s="1700"/>
      <c r="W643" s="1700"/>
      <c r="X643" s="1700"/>
      <c r="Y643" s="1700"/>
      <c r="Z643" s="1700"/>
      <c r="AA643" s="1700"/>
      <c r="AB643" s="1700"/>
      <c r="AC643" s="1700"/>
      <c r="AD643" s="1700"/>
      <c r="AE643" s="1700"/>
      <c r="AF643" s="1700"/>
      <c r="AG643" s="1700"/>
      <c r="AH643" s="170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312">
        <f>IF($C$627="yes",10,0)</f>
        <v>10</v>
      </c>
      <c r="AL645" s="1313"/>
      <c r="AM645" s="1314"/>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75" t="s">
        <v>108</v>
      </c>
      <c r="D650" s="117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75" t="s">
        <v>124</v>
      </c>
      <c r="D655" s="117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75" t="s">
        <v>124</v>
      </c>
      <c r="D659" s="117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75" t="s">
        <v>124</v>
      </c>
      <c r="D663" s="117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75" t="s">
        <v>124</v>
      </c>
      <c r="D665" s="117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75" t="s">
        <v>124</v>
      </c>
      <c r="D670" s="117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75" t="s">
        <v>124</v>
      </c>
      <c r="D673" s="1175"/>
      <c r="E673" s="185" t="s">
        <v>281</v>
      </c>
      <c r="F673" s="1700" t="s">
        <v>2212</v>
      </c>
      <c r="G673" s="1700"/>
      <c r="H673" s="1700"/>
      <c r="I673" s="1700"/>
      <c r="J673" s="1700"/>
      <c r="K673" s="1700"/>
      <c r="L673" s="1700"/>
      <c r="M673" s="1700"/>
      <c r="N673" s="1700"/>
      <c r="O673" s="1700"/>
      <c r="P673" s="1700"/>
      <c r="Q673" s="1700"/>
      <c r="R673" s="1700"/>
      <c r="S673" s="1700"/>
      <c r="T673" s="1700"/>
      <c r="U673" s="1700"/>
      <c r="V673" s="1700"/>
      <c r="W673" s="1700"/>
      <c r="X673" s="1700"/>
      <c r="Y673" s="1700"/>
      <c r="Z673" s="1700"/>
      <c r="AA673" s="1700"/>
      <c r="AB673" s="1700"/>
      <c r="AC673" s="1700"/>
      <c r="AD673" s="1700"/>
      <c r="AE673" s="19"/>
      <c r="AF673" s="19"/>
      <c r="AG673" s="3" t="s">
        <v>103</v>
      </c>
      <c r="AH673" s="19"/>
      <c r="AI673" s="19"/>
      <c r="AJ673" s="4"/>
      <c r="AK673" s="4"/>
      <c r="AL673" s="4"/>
      <c r="AM673" s="4"/>
      <c r="AN673" s="79"/>
      <c r="AO673" s="21"/>
    </row>
    <row r="674" spans="1:60">
      <c r="A674" s="4"/>
      <c r="B674" s="19"/>
      <c r="C674" s="19"/>
      <c r="D674" s="19"/>
      <c r="E674" s="19"/>
      <c r="F674" s="1700"/>
      <c r="G674" s="1700"/>
      <c r="H674" s="1700"/>
      <c r="I674" s="1700"/>
      <c r="J674" s="1700"/>
      <c r="K674" s="1700"/>
      <c r="L674" s="1700"/>
      <c r="M674" s="1700"/>
      <c r="N674" s="1700"/>
      <c r="O674" s="1700"/>
      <c r="P674" s="1700"/>
      <c r="Q674" s="1700"/>
      <c r="R674" s="1700"/>
      <c r="S674" s="1700"/>
      <c r="T674" s="1700"/>
      <c r="U674" s="1700"/>
      <c r="V674" s="1700"/>
      <c r="W674" s="1700"/>
      <c r="X674" s="1700"/>
      <c r="Y674" s="1700"/>
      <c r="Z674" s="1700"/>
      <c r="AA674" s="1700"/>
      <c r="AB674" s="1700"/>
      <c r="AC674" s="1700"/>
      <c r="AD674" s="1700"/>
      <c r="AE674" s="19"/>
      <c r="AF674" s="19"/>
      <c r="AG674" s="19"/>
      <c r="AH674" s="19"/>
      <c r="AI674" s="19"/>
      <c r="AJ674" s="4"/>
      <c r="AK674" s="4"/>
      <c r="AL674" s="4"/>
      <c r="AM674" s="4"/>
      <c r="AN674" s="79"/>
      <c r="AO674" s="21"/>
    </row>
    <row r="675" spans="1:60" ht="0.75" customHeight="1">
      <c r="A675" s="4"/>
      <c r="B675" s="19"/>
      <c r="C675" s="19"/>
      <c r="D675" s="19"/>
      <c r="E675" s="19"/>
      <c r="F675" s="1700"/>
      <c r="G675" s="1700"/>
      <c r="H675" s="1700"/>
      <c r="I675" s="1700"/>
      <c r="J675" s="1700"/>
      <c r="K675" s="1700"/>
      <c r="L675" s="1700"/>
      <c r="M675" s="1700"/>
      <c r="N675" s="1700"/>
      <c r="O675" s="1700"/>
      <c r="P675" s="1700"/>
      <c r="Q675" s="1700"/>
      <c r="R675" s="1700"/>
      <c r="S675" s="1700"/>
      <c r="T675" s="1700"/>
      <c r="U675" s="1700"/>
      <c r="V675" s="1700"/>
      <c r="W675" s="1700"/>
      <c r="X675" s="1700"/>
      <c r="Y675" s="1700"/>
      <c r="Z675" s="1700"/>
      <c r="AA675" s="1700"/>
      <c r="AB675" s="1700"/>
      <c r="AC675" s="1700"/>
      <c r="AD675" s="170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312">
        <f>$AO$655</f>
        <v>2</v>
      </c>
      <c r="AL688" s="1313"/>
      <c r="AM688" s="131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245" t="s">
        <v>1941</v>
      </c>
      <c r="B694" s="1245"/>
      <c r="C694" s="1245"/>
      <c r="D694" s="1245"/>
      <c r="E694" s="1245"/>
      <c r="F694" s="1245"/>
      <c r="G694" s="1245"/>
      <c r="H694" s="1245"/>
      <c r="I694" s="1245"/>
      <c r="J694" s="1245"/>
      <c r="K694" s="1245"/>
      <c r="L694" s="1245"/>
      <c r="M694" s="1245"/>
      <c r="N694" s="1245"/>
      <c r="O694" s="1245"/>
      <c r="P694" s="1245"/>
      <c r="Q694" s="1245"/>
      <c r="R694" s="1245"/>
      <c r="S694" s="1245"/>
      <c r="T694" s="1245"/>
      <c r="U694" s="1245"/>
      <c r="V694" s="1245"/>
      <c r="W694" s="1245"/>
      <c r="X694" s="1245"/>
      <c r="Y694" s="1245"/>
      <c r="Z694" s="1245"/>
      <c r="AA694" s="1245"/>
      <c r="AB694" s="1245"/>
      <c r="AC694" s="1245"/>
      <c r="AD694" s="1245"/>
      <c r="AE694" s="1245"/>
      <c r="AF694" s="1245"/>
      <c r="AG694" s="1245"/>
      <c r="AH694" s="1245"/>
      <c r="AI694" s="1245"/>
      <c r="AJ694" s="1245"/>
      <c r="AK694" s="1245"/>
      <c r="AL694" s="1245"/>
      <c r="AM694" s="1245"/>
      <c r="AO694" s="206">
        <f>IF(T703&gt;15,15,T703)</f>
        <v>15</v>
      </c>
      <c r="AP694" s="206"/>
      <c r="AQ694" s="206"/>
    </row>
    <row r="695" spans="1:43">
      <c r="A695" s="1245" t="s">
        <v>1942</v>
      </c>
      <c r="B695" s="1245"/>
      <c r="C695" s="1245"/>
      <c r="D695" s="1245"/>
      <c r="E695" s="1245"/>
      <c r="F695" s="1245"/>
      <c r="G695" s="1245"/>
      <c r="H695" s="1245"/>
      <c r="I695" s="1245"/>
      <c r="J695" s="1245"/>
      <c r="K695" s="1245"/>
      <c r="L695" s="1245"/>
      <c r="M695" s="1245"/>
      <c r="N695" s="1245"/>
      <c r="O695" s="1245"/>
      <c r="P695" s="1245"/>
      <c r="Q695" s="1245"/>
      <c r="R695" s="1245"/>
      <c r="S695" s="1245"/>
      <c r="T695" s="1245"/>
      <c r="U695" s="1245"/>
      <c r="V695" s="1245"/>
      <c r="W695" s="1245"/>
      <c r="X695" s="1245"/>
      <c r="Y695" s="1245"/>
      <c r="Z695" s="1245"/>
      <c r="AA695" s="1245"/>
      <c r="AB695" s="1245"/>
      <c r="AC695" s="1245"/>
      <c r="AD695" s="1245"/>
      <c r="AE695" s="1245"/>
      <c r="AF695" s="1245"/>
      <c r="AG695" s="1245"/>
      <c r="AH695" s="1245"/>
      <c r="AI695" s="1245"/>
      <c r="AJ695" s="1245"/>
      <c r="AK695" s="1245"/>
      <c r="AL695" s="1245"/>
      <c r="AM695" s="1245"/>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78" t="s">
        <v>234</v>
      </c>
      <c r="U696" s="1576"/>
      <c r="V696" s="1576"/>
      <c r="W696" s="1576"/>
      <c r="X696" s="1576"/>
      <c r="Y696" s="1577"/>
      <c r="Z696" s="1578" t="s">
        <v>233</v>
      </c>
      <c r="AA696" s="1576"/>
      <c r="AB696" s="1576"/>
      <c r="AC696" s="1576"/>
      <c r="AD696" s="1576"/>
      <c r="AE696" s="1577"/>
      <c r="AF696" s="1578" t="s">
        <v>235</v>
      </c>
      <c r="AG696" s="1576"/>
      <c r="AH696" s="1576"/>
      <c r="AI696" s="1576"/>
      <c r="AJ696" s="1576"/>
      <c r="AK696" s="157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69"/>
      <c r="U697" s="1570"/>
      <c r="V697" s="1570"/>
      <c r="W697" s="1570"/>
      <c r="X697" s="1570"/>
      <c r="Y697" s="1571"/>
      <c r="Z697" s="1569"/>
      <c r="AA697" s="1570"/>
      <c r="AB697" s="1570"/>
      <c r="AC697" s="1570"/>
      <c r="AD697" s="1570"/>
      <c r="AE697" s="1571"/>
      <c r="AF697" s="1569"/>
      <c r="AG697" s="1570"/>
      <c r="AH697" s="1570"/>
      <c r="AI697" s="1570"/>
      <c r="AJ697" s="1570"/>
      <c r="AK697" s="1571"/>
      <c r="AL697" s="778"/>
      <c r="AM697" s="20"/>
    </row>
    <row r="698" spans="1:43">
      <c r="A698" s="594" t="s">
        <v>653</v>
      </c>
      <c r="B698" s="1793" t="s">
        <v>270</v>
      </c>
      <c r="C698" s="1793"/>
      <c r="D698" s="1793"/>
      <c r="E698" s="1793"/>
      <c r="F698" s="1793"/>
      <c r="G698" s="1793"/>
      <c r="H698" s="1793"/>
      <c r="I698" s="1793"/>
      <c r="J698" s="1793"/>
      <c r="K698" s="1793"/>
      <c r="L698" s="1793"/>
      <c r="M698" s="1793"/>
      <c r="N698" s="1793"/>
      <c r="O698" s="1793"/>
      <c r="P698" s="1793"/>
      <c r="Q698" s="1793"/>
      <c r="R698" s="1793"/>
      <c r="S698" s="1794"/>
      <c r="T698" s="1792">
        <f>SUM(T699:Y700)</f>
        <v>10</v>
      </c>
      <c r="U698" s="1792"/>
      <c r="V698" s="1792"/>
      <c r="W698" s="1792"/>
      <c r="X698" s="1792"/>
      <c r="Y698" s="1792"/>
      <c r="Z698" s="1520">
        <v>10</v>
      </c>
      <c r="AA698" s="1520"/>
      <c r="AB698" s="1520"/>
      <c r="AC698" s="1520"/>
      <c r="AD698" s="1520"/>
      <c r="AE698" s="1520"/>
      <c r="AF698" s="1520">
        <f>IF(T698&gt;Z698,Z698,T698)</f>
        <v>10</v>
      </c>
      <c r="AG698" s="1520"/>
      <c r="AH698" s="1520"/>
      <c r="AI698" s="1520"/>
      <c r="AJ698" s="1520"/>
      <c r="AK698" s="1520"/>
      <c r="AL698" s="778"/>
      <c r="AM698" s="20"/>
      <c r="AO698" s="4">
        <f>IF(T707&gt;50,50,T707)</f>
        <v>50</v>
      </c>
    </row>
    <row r="699" spans="1:43">
      <c r="A699" s="614"/>
      <c r="B699" s="615"/>
      <c r="C699" s="620"/>
      <c r="D699" s="306" t="s">
        <v>210</v>
      </c>
      <c r="E699" s="1796" t="s">
        <v>236</v>
      </c>
      <c r="F699" s="1796"/>
      <c r="G699" s="1796"/>
      <c r="H699" s="1796"/>
      <c r="I699" s="1796"/>
      <c r="J699" s="1796"/>
      <c r="K699" s="1796"/>
      <c r="L699" s="1796"/>
      <c r="M699" s="1796"/>
      <c r="N699" s="1796"/>
      <c r="O699" s="1796"/>
      <c r="P699" s="1796"/>
      <c r="Q699" s="1796"/>
      <c r="R699" s="1796"/>
      <c r="S699" s="1797"/>
      <c r="T699" s="1795">
        <f>AJ31</f>
        <v>7</v>
      </c>
      <c r="U699" s="1795"/>
      <c r="V699" s="1795"/>
      <c r="W699" s="1795"/>
      <c r="X699" s="1795"/>
      <c r="Y699" s="1795"/>
      <c r="Z699" s="1695">
        <v>7</v>
      </c>
      <c r="AA699" s="1695"/>
      <c r="AB699" s="1695"/>
      <c r="AC699" s="1695"/>
      <c r="AD699" s="1695"/>
      <c r="AE699" s="1695"/>
      <c r="AF699" s="1808"/>
      <c r="AG699" s="1808"/>
      <c r="AH699" s="1808"/>
      <c r="AI699" s="1808"/>
      <c r="AJ699" s="1808"/>
      <c r="AK699" s="1808"/>
      <c r="AL699" s="778"/>
      <c r="AM699" s="20"/>
    </row>
    <row r="700" spans="1:43">
      <c r="A700" s="616"/>
      <c r="B700" s="615"/>
      <c r="C700" s="615"/>
      <c r="D700" s="306" t="s">
        <v>428</v>
      </c>
      <c r="E700" s="1796" t="s">
        <v>237</v>
      </c>
      <c r="F700" s="1796"/>
      <c r="G700" s="1796"/>
      <c r="H700" s="1796"/>
      <c r="I700" s="1796"/>
      <c r="J700" s="1796"/>
      <c r="K700" s="1796"/>
      <c r="L700" s="1796"/>
      <c r="M700" s="1796"/>
      <c r="N700" s="1796"/>
      <c r="O700" s="1796"/>
      <c r="P700" s="1796"/>
      <c r="Q700" s="1796"/>
      <c r="R700" s="1796"/>
      <c r="S700" s="1797"/>
      <c r="T700" s="1795">
        <f>AJ47</f>
        <v>3</v>
      </c>
      <c r="U700" s="1795"/>
      <c r="V700" s="1795"/>
      <c r="W700" s="1795"/>
      <c r="X700" s="1795"/>
      <c r="Y700" s="1795"/>
      <c r="Z700" s="1695">
        <v>3</v>
      </c>
      <c r="AA700" s="1695"/>
      <c r="AB700" s="1695"/>
      <c r="AC700" s="1695"/>
      <c r="AD700" s="1695"/>
      <c r="AE700" s="1695"/>
      <c r="AF700" s="1808"/>
      <c r="AG700" s="1808"/>
      <c r="AH700" s="1808"/>
      <c r="AI700" s="1808"/>
      <c r="AJ700" s="1808"/>
      <c r="AK700" s="1808"/>
      <c r="AL700" s="778"/>
      <c r="AM700" s="20"/>
    </row>
    <row r="701" spans="1:43">
      <c r="A701" s="594" t="s">
        <v>8</v>
      </c>
      <c r="B701" s="1793" t="s">
        <v>271</v>
      </c>
      <c r="C701" s="1793"/>
      <c r="D701" s="1793"/>
      <c r="E701" s="1793"/>
      <c r="F701" s="1793"/>
      <c r="G701" s="1793"/>
      <c r="H701" s="1793"/>
      <c r="I701" s="1793"/>
      <c r="J701" s="1793"/>
      <c r="K701" s="1793"/>
      <c r="L701" s="1793"/>
      <c r="M701" s="1793"/>
      <c r="N701" s="1793"/>
      <c r="O701" s="1793"/>
      <c r="P701" s="1793"/>
      <c r="Q701" s="1793"/>
      <c r="R701" s="1793"/>
      <c r="S701" s="1794"/>
      <c r="T701" s="1792">
        <f>AK68</f>
        <v>10</v>
      </c>
      <c r="U701" s="1792"/>
      <c r="V701" s="1792"/>
      <c r="W701" s="1792"/>
      <c r="X701" s="1792"/>
      <c r="Y701" s="1792"/>
      <c r="Z701" s="1520">
        <v>10</v>
      </c>
      <c r="AA701" s="1520"/>
      <c r="AB701" s="1520"/>
      <c r="AC701" s="1520"/>
      <c r="AD701" s="1520"/>
      <c r="AE701" s="1520"/>
      <c r="AF701" s="1520">
        <f>IF(T701&gt;Z701,Z701,T701)</f>
        <v>10</v>
      </c>
      <c r="AG701" s="1520"/>
      <c r="AH701" s="1520"/>
      <c r="AI701" s="1520"/>
      <c r="AJ701" s="1520"/>
      <c r="AK701" s="1520"/>
      <c r="AL701" s="778"/>
      <c r="AM701" s="20"/>
    </row>
    <row r="702" spans="1:43">
      <c r="A702" s="594" t="s">
        <v>119</v>
      </c>
      <c r="B702" s="1793" t="s">
        <v>272</v>
      </c>
      <c r="C702" s="1793"/>
      <c r="D702" s="1793"/>
      <c r="E702" s="1793"/>
      <c r="F702" s="1793"/>
      <c r="G702" s="1793"/>
      <c r="H702" s="1793"/>
      <c r="I702" s="1793"/>
      <c r="J702" s="1793"/>
      <c r="K702" s="1793"/>
      <c r="L702" s="1793"/>
      <c r="M702" s="1793"/>
      <c r="N702" s="1793"/>
      <c r="O702" s="1793"/>
      <c r="P702" s="1793"/>
      <c r="Q702" s="1793"/>
      <c r="R702" s="1793"/>
      <c r="S702" s="1794"/>
      <c r="T702" s="1792">
        <f>AO693</f>
        <v>25</v>
      </c>
      <c r="U702" s="1792">
        <f>IF(AND(AND(A703&gt;15,15+A704),A704&gt;10,A703+10),A702,0)</f>
        <v>0</v>
      </c>
      <c r="V702" s="1792">
        <f>IF(AND(AND(B703&gt;15,15+B704),B704&gt;10,B703+10),#REF!,0)</f>
        <v>0</v>
      </c>
      <c r="W702" s="1792">
        <f>IF(AND(AND(C703&gt;15,15+C704),C704&gt;10,C703+10),B702,0)</f>
        <v>0</v>
      </c>
      <c r="X702" s="1792" t="e">
        <f>IF(AND(AND(D703&gt;15,15+D704),D704&gt;10,D703+10),D702,0)</f>
        <v>#VALUE!</v>
      </c>
      <c r="Y702" s="1792" t="e">
        <f>IF(AND(AND(E703&gt;15,15+E704),E704&gt;10,E703+10),E702,0)</f>
        <v>#VALUE!</v>
      </c>
      <c r="Z702" s="1520">
        <v>25</v>
      </c>
      <c r="AA702" s="1520"/>
      <c r="AB702" s="1520"/>
      <c r="AC702" s="1520"/>
      <c r="AD702" s="1520"/>
      <c r="AE702" s="1520"/>
      <c r="AF702" s="1520">
        <f>IF(T702&gt;Z702,Z702,T702)</f>
        <v>25</v>
      </c>
      <c r="AG702" s="1520"/>
      <c r="AH702" s="1520"/>
      <c r="AI702" s="1520"/>
      <c r="AJ702" s="1520"/>
      <c r="AK702" s="1520"/>
      <c r="AL702" s="778"/>
      <c r="AM702" s="20"/>
    </row>
    <row r="703" spans="1:43">
      <c r="A703" s="594"/>
      <c r="B703" s="615"/>
      <c r="C703" s="615"/>
      <c r="D703" s="306" t="s">
        <v>1468</v>
      </c>
      <c r="E703" s="1796" t="s">
        <v>294</v>
      </c>
      <c r="F703" s="1796"/>
      <c r="G703" s="1796"/>
      <c r="H703" s="1796"/>
      <c r="I703" s="1796"/>
      <c r="J703" s="1796"/>
      <c r="K703" s="1796"/>
      <c r="L703" s="1796"/>
      <c r="M703" s="1796"/>
      <c r="N703" s="1796"/>
      <c r="O703" s="1796"/>
      <c r="P703" s="1796"/>
      <c r="Q703" s="1796"/>
      <c r="R703" s="1796"/>
      <c r="S703" s="1797"/>
      <c r="T703" s="1795">
        <f>AK283</f>
        <v>29</v>
      </c>
      <c r="U703" s="1795"/>
      <c r="V703" s="1795"/>
      <c r="W703" s="1795"/>
      <c r="X703" s="1795"/>
      <c r="Y703" s="1795"/>
      <c r="Z703" s="1695">
        <v>15</v>
      </c>
      <c r="AA703" s="1695"/>
      <c r="AB703" s="1695"/>
      <c r="AC703" s="1695"/>
      <c r="AD703" s="1695"/>
      <c r="AE703" s="1695"/>
      <c r="AF703" s="1808"/>
      <c r="AG703" s="1808"/>
      <c r="AH703" s="1808"/>
      <c r="AI703" s="1808"/>
      <c r="AJ703" s="1808"/>
      <c r="AK703" s="1808"/>
      <c r="AL703" s="778"/>
      <c r="AM703" s="20"/>
    </row>
    <row r="704" spans="1:43">
      <c r="A704" s="617"/>
      <c r="B704" s="90"/>
      <c r="C704" s="90"/>
      <c r="D704" s="618" t="s">
        <v>1469</v>
      </c>
      <c r="E704" s="1796" t="s">
        <v>295</v>
      </c>
      <c r="F704" s="1796"/>
      <c r="G704" s="1796"/>
      <c r="H704" s="1796"/>
      <c r="I704" s="1796"/>
      <c r="J704" s="1796"/>
      <c r="K704" s="1796"/>
      <c r="L704" s="1796"/>
      <c r="M704" s="1796"/>
      <c r="N704" s="1796"/>
      <c r="O704" s="1796"/>
      <c r="P704" s="1796"/>
      <c r="Q704" s="1796"/>
      <c r="R704" s="1796"/>
      <c r="S704" s="1797"/>
      <c r="T704" s="1795">
        <f>AK474</f>
        <v>10</v>
      </c>
      <c r="U704" s="1795"/>
      <c r="V704" s="1795"/>
      <c r="W704" s="1795"/>
      <c r="X704" s="1795"/>
      <c r="Y704" s="1795"/>
      <c r="Z704" s="1695">
        <v>10</v>
      </c>
      <c r="AA704" s="1695"/>
      <c r="AB704" s="1695"/>
      <c r="AC704" s="1695"/>
      <c r="AD704" s="1695"/>
      <c r="AE704" s="1695"/>
      <c r="AF704" s="1808"/>
      <c r="AG704" s="1808"/>
      <c r="AH704" s="1808"/>
      <c r="AI704" s="1808"/>
      <c r="AJ704" s="1808"/>
      <c r="AK704" s="1808"/>
      <c r="AL704" s="778"/>
      <c r="AM704" s="20"/>
    </row>
    <row r="705" spans="1:39" hidden="1">
      <c r="A705" s="594" t="s">
        <v>122</v>
      </c>
      <c r="B705" s="1793" t="s">
        <v>540</v>
      </c>
      <c r="C705" s="1793"/>
      <c r="D705" s="1793"/>
      <c r="E705" s="1793"/>
      <c r="F705" s="1793"/>
      <c r="G705" s="1793"/>
      <c r="H705" s="1793"/>
      <c r="I705" s="1793"/>
      <c r="J705" s="1793"/>
      <c r="K705" s="1793"/>
      <c r="L705" s="1793"/>
      <c r="M705" s="1793"/>
      <c r="N705" s="1793"/>
      <c r="O705" s="1793"/>
      <c r="P705" s="1793"/>
      <c r="Q705" s="1793"/>
      <c r="R705" s="1793"/>
      <c r="S705" s="1794"/>
      <c r="T705" s="1792"/>
      <c r="U705" s="1792"/>
      <c r="V705" s="1792"/>
      <c r="W705" s="1792"/>
      <c r="X705" s="1792"/>
      <c r="Y705" s="1792"/>
      <c r="Z705" s="1520"/>
      <c r="AA705" s="1520"/>
      <c r="AB705" s="1520"/>
      <c r="AC705" s="1520"/>
      <c r="AD705" s="1520"/>
      <c r="AE705" s="1520"/>
      <c r="AF705" s="1520"/>
      <c r="AG705" s="1520"/>
      <c r="AH705" s="1520"/>
      <c r="AI705" s="1520"/>
      <c r="AJ705" s="1520"/>
      <c r="AK705" s="1520"/>
      <c r="AL705" s="778"/>
      <c r="AM705" s="20"/>
    </row>
    <row r="706" spans="1:39">
      <c r="A706" s="594" t="s">
        <v>122</v>
      </c>
      <c r="B706" s="1793" t="s">
        <v>541</v>
      </c>
      <c r="C706" s="1793"/>
      <c r="D706" s="1793"/>
      <c r="E706" s="1793"/>
      <c r="F706" s="1793"/>
      <c r="G706" s="1793"/>
      <c r="H706" s="1793"/>
      <c r="I706" s="1793"/>
      <c r="J706" s="1793"/>
      <c r="K706" s="1793"/>
      <c r="L706" s="1793"/>
      <c r="M706" s="1793"/>
      <c r="N706" s="1793"/>
      <c r="O706" s="1793"/>
      <c r="P706" s="1793"/>
      <c r="Q706" s="1793"/>
      <c r="R706" s="1793"/>
      <c r="S706" s="1794"/>
      <c r="T706" s="1814">
        <f>IF(SUM(T707:Y708)&gt;52,52,SUM(T707:Y708))</f>
        <v>52</v>
      </c>
      <c r="U706" s="1788"/>
      <c r="V706" s="1788"/>
      <c r="W706" s="1788"/>
      <c r="X706" s="1788"/>
      <c r="Y706" s="1788"/>
      <c r="Z706" s="1788">
        <v>52</v>
      </c>
      <c r="AA706" s="1788"/>
      <c r="AB706" s="1788"/>
      <c r="AC706" s="1788"/>
      <c r="AD706" s="1788"/>
      <c r="AE706" s="1788"/>
      <c r="AF706" s="1788">
        <f>$AO$698+$T$708</f>
        <v>52</v>
      </c>
      <c r="AG706" s="1788"/>
      <c r="AH706" s="1788"/>
      <c r="AI706" s="1788"/>
      <c r="AJ706" s="1788"/>
      <c r="AK706" s="1788"/>
      <c r="AL706" s="778"/>
      <c r="AM706" s="20"/>
    </row>
    <row r="707" spans="1:39">
      <c r="A707" s="619"/>
      <c r="B707" s="621"/>
      <c r="C707" s="621"/>
      <c r="D707" s="622" t="s">
        <v>2217</v>
      </c>
      <c r="E707" s="1796" t="s">
        <v>183</v>
      </c>
      <c r="F707" s="1796"/>
      <c r="G707" s="1796"/>
      <c r="H707" s="1796"/>
      <c r="I707" s="1796"/>
      <c r="J707" s="1796"/>
      <c r="K707" s="1796"/>
      <c r="L707" s="1796"/>
      <c r="M707" s="1796"/>
      <c r="N707" s="1796"/>
      <c r="O707" s="1796"/>
      <c r="P707" s="1796"/>
      <c r="Q707" s="1796"/>
      <c r="R707" s="1796"/>
      <c r="S707" s="1797"/>
      <c r="T707" s="1789">
        <f>AC592</f>
        <v>50</v>
      </c>
      <c r="U707" s="1790"/>
      <c r="V707" s="1790"/>
      <c r="W707" s="1790"/>
      <c r="X707" s="1790"/>
      <c r="Y707" s="1791"/>
      <c r="Z707" s="1789">
        <v>50</v>
      </c>
      <c r="AA707" s="1790"/>
      <c r="AB707" s="1790"/>
      <c r="AC707" s="1790"/>
      <c r="AD707" s="1790"/>
      <c r="AE707" s="1791"/>
      <c r="AF707" s="1821"/>
      <c r="AG707" s="1822"/>
      <c r="AH707" s="1822"/>
      <c r="AI707" s="1822"/>
      <c r="AJ707" s="1822"/>
      <c r="AK707" s="1823"/>
      <c r="AL707" s="778"/>
      <c r="AM707" s="4"/>
    </row>
    <row r="708" spans="1:39">
      <c r="A708" s="623"/>
      <c r="B708" s="615"/>
      <c r="C708" s="615"/>
      <c r="D708" s="306" t="s">
        <v>2218</v>
      </c>
      <c r="E708" s="1796" t="s">
        <v>269</v>
      </c>
      <c r="F708" s="1796"/>
      <c r="G708" s="1796"/>
      <c r="H708" s="1796"/>
      <c r="I708" s="1796"/>
      <c r="J708" s="1796"/>
      <c r="K708" s="1796"/>
      <c r="L708" s="1796"/>
      <c r="M708" s="1796"/>
      <c r="N708" s="1796"/>
      <c r="O708" s="1796"/>
      <c r="P708" s="1796"/>
      <c r="Q708" s="1796"/>
      <c r="R708" s="1796"/>
      <c r="S708" s="1797"/>
      <c r="T708" s="1775">
        <f>IF(AJ617&gt;0,2,0)</f>
        <v>2</v>
      </c>
      <c r="U708" s="1776"/>
      <c r="V708" s="1776"/>
      <c r="W708" s="1776"/>
      <c r="X708" s="1776"/>
      <c r="Y708" s="1777"/>
      <c r="Z708" s="1312">
        <v>2</v>
      </c>
      <c r="AA708" s="1313"/>
      <c r="AB708" s="1313"/>
      <c r="AC708" s="1313"/>
      <c r="AD708" s="1313"/>
      <c r="AE708" s="1314"/>
      <c r="AF708" s="1811"/>
      <c r="AG708" s="1812"/>
      <c r="AH708" s="1812"/>
      <c r="AI708" s="1812"/>
      <c r="AJ708" s="1812"/>
      <c r="AK708" s="1813"/>
      <c r="AL708" s="778"/>
      <c r="AM708" s="4"/>
    </row>
    <row r="709" spans="1:39">
      <c r="A709" s="619" t="s">
        <v>123</v>
      </c>
      <c r="B709" s="1793" t="s">
        <v>542</v>
      </c>
      <c r="C709" s="1793"/>
      <c r="D709" s="1793"/>
      <c r="E709" s="1793"/>
      <c r="F709" s="1793"/>
      <c r="G709" s="1793"/>
      <c r="H709" s="1793"/>
      <c r="I709" s="1793"/>
      <c r="J709" s="1793"/>
      <c r="K709" s="1793"/>
      <c r="L709" s="1793"/>
      <c r="M709" s="1793"/>
      <c r="N709" s="1793"/>
      <c r="O709" s="1793"/>
      <c r="P709" s="1793"/>
      <c r="Q709" s="1793"/>
      <c r="R709" s="1793"/>
      <c r="S709" s="1794"/>
      <c r="T709" s="1792">
        <f>AK645</f>
        <v>10</v>
      </c>
      <c r="U709" s="1792"/>
      <c r="V709" s="1792"/>
      <c r="W709" s="1792"/>
      <c r="X709" s="1792"/>
      <c r="Y709" s="1792"/>
      <c r="Z709" s="1520">
        <v>10</v>
      </c>
      <c r="AA709" s="1520"/>
      <c r="AB709" s="1520"/>
      <c r="AC709" s="1520"/>
      <c r="AD709" s="1520"/>
      <c r="AE709" s="1520"/>
      <c r="AF709" s="1375">
        <f>IF(T709&gt;Z709,Z709,T709)</f>
        <v>10</v>
      </c>
      <c r="AG709" s="1376"/>
      <c r="AH709" s="1376"/>
      <c r="AI709" s="1376"/>
      <c r="AJ709" s="1376"/>
      <c r="AK709" s="1380"/>
      <c r="AL709" s="778"/>
      <c r="AM709" s="20"/>
    </row>
    <row r="710" spans="1:39">
      <c r="A710" s="619" t="s">
        <v>125</v>
      </c>
      <c r="B710" s="1793" t="s">
        <v>985</v>
      </c>
      <c r="C710" s="1793"/>
      <c r="D710" s="1793"/>
      <c r="E710" s="1793"/>
      <c r="F710" s="1793"/>
      <c r="G710" s="1793"/>
      <c r="H710" s="1793"/>
      <c r="I710" s="1793"/>
      <c r="J710" s="1793"/>
      <c r="K710" s="1793"/>
      <c r="L710" s="1793"/>
      <c r="M710" s="1793"/>
      <c r="N710" s="1793"/>
      <c r="O710" s="1793"/>
      <c r="P710" s="1793"/>
      <c r="Q710" s="1793"/>
      <c r="R710" s="1793"/>
      <c r="S710" s="1794"/>
      <c r="T710" s="1815">
        <f>IF(AK688&gt;2,2,AK688)</f>
        <v>2</v>
      </c>
      <c r="U710" s="1816"/>
      <c r="V710" s="1816"/>
      <c r="W710" s="1816"/>
      <c r="X710" s="1816"/>
      <c r="Y710" s="1817"/>
      <c r="Z710" s="1375">
        <v>2</v>
      </c>
      <c r="AA710" s="1376"/>
      <c r="AB710" s="1376"/>
      <c r="AC710" s="1376"/>
      <c r="AD710" s="1376"/>
      <c r="AE710" s="1380"/>
      <c r="AF710" s="1375">
        <f>IF(T710&gt;Z710,Z710,T710)</f>
        <v>2</v>
      </c>
      <c r="AG710" s="1809"/>
      <c r="AH710" s="1809"/>
      <c r="AI710" s="1809"/>
      <c r="AJ710" s="1809"/>
      <c r="AK710" s="1810"/>
      <c r="AL710" s="3"/>
      <c r="AM710" s="20"/>
    </row>
    <row r="711" spans="1:39">
      <c r="A711" s="1890" t="s">
        <v>297</v>
      </c>
      <c r="B711" s="1793"/>
      <c r="C711" s="1793"/>
      <c r="D711" s="1793"/>
      <c r="E711" s="1793"/>
      <c r="F711" s="1793"/>
      <c r="G711" s="1793"/>
      <c r="H711" s="1793"/>
      <c r="I711" s="1793"/>
      <c r="J711" s="1793"/>
      <c r="K711" s="1793"/>
      <c r="L711" s="1793"/>
      <c r="M711" s="1793"/>
      <c r="N711" s="1793"/>
      <c r="O711" s="1793"/>
      <c r="P711" s="1793"/>
      <c r="Q711" s="1793"/>
      <c r="R711" s="1793"/>
      <c r="S711" s="1794"/>
      <c r="T711" s="1168"/>
      <c r="U711" s="1168"/>
      <c r="V711" s="1168"/>
      <c r="W711" s="1168"/>
      <c r="X711" s="1168"/>
      <c r="Y711" s="1168"/>
      <c r="Z711" s="1695" t="s">
        <v>296</v>
      </c>
      <c r="AA711" s="1695"/>
      <c r="AB711" s="1695"/>
      <c r="AC711" s="1695"/>
      <c r="AD711" s="1695"/>
      <c r="AE711" s="1695"/>
      <c r="AF711" s="1375">
        <f>IF(T711&gt;0,T711,0)</f>
        <v>0</v>
      </c>
      <c r="AG711" s="1376"/>
      <c r="AH711" s="1376"/>
      <c r="AI711" s="1376"/>
      <c r="AJ711" s="1376"/>
      <c r="AK711" s="1380"/>
      <c r="AL711" s="18"/>
      <c r="AM711" s="20"/>
    </row>
    <row r="712" spans="1:39" ht="15.6">
      <c r="A712" s="1880" t="s">
        <v>721</v>
      </c>
      <c r="B712" s="1881"/>
      <c r="C712" s="1881"/>
      <c r="D712" s="1881"/>
      <c r="E712" s="1881"/>
      <c r="F712" s="1881"/>
      <c r="G712" s="1881"/>
      <c r="H712" s="1881"/>
      <c r="I712" s="1881"/>
      <c r="J712" s="1881"/>
      <c r="K712" s="1881"/>
      <c r="L712" s="1881"/>
      <c r="M712" s="1881"/>
      <c r="N712" s="1881"/>
      <c r="O712" s="1881"/>
      <c r="P712" s="1881"/>
      <c r="Q712" s="1881"/>
      <c r="R712" s="1881"/>
      <c r="S712" s="1881"/>
      <c r="T712" s="1881"/>
      <c r="U712" s="1881"/>
      <c r="V712" s="1881"/>
      <c r="W712" s="1881"/>
      <c r="X712" s="1881"/>
      <c r="Y712" s="1881"/>
      <c r="Z712" s="1881"/>
      <c r="AA712" s="1881"/>
      <c r="AB712" s="1881"/>
      <c r="AC712" s="1881"/>
      <c r="AD712" s="1881"/>
      <c r="AE712" s="1882"/>
      <c r="AF712" s="1798">
        <f>SUM(AF698:AK710)-AF711</f>
        <v>109</v>
      </c>
      <c r="AG712" s="1799"/>
      <c r="AH712" s="1799"/>
      <c r="AI712" s="1799"/>
      <c r="AJ712" s="1799"/>
      <c r="AK712" s="1800"/>
      <c r="AL712" s="779"/>
      <c r="AM712" s="4"/>
    </row>
    <row r="713" spans="1:39" ht="12.45" customHeight="1">
      <c r="A713" s="1883"/>
      <c r="B713" s="1884"/>
      <c r="C713" s="1884"/>
      <c r="D713" s="1884"/>
      <c r="E713" s="1884"/>
      <c r="F713" s="1884"/>
      <c r="G713" s="1884"/>
      <c r="H713" s="1884"/>
      <c r="I713" s="1884"/>
      <c r="J713" s="1884"/>
      <c r="K713" s="1884"/>
      <c r="L713" s="1884"/>
      <c r="M713" s="1884"/>
      <c r="N713" s="1884"/>
      <c r="O713" s="1884"/>
      <c r="P713" s="1884"/>
      <c r="Q713" s="1884"/>
      <c r="R713" s="1884"/>
      <c r="S713" s="1884"/>
      <c r="T713" s="1884"/>
      <c r="U713" s="1884"/>
      <c r="V713" s="1884"/>
      <c r="W713" s="1884"/>
      <c r="X713" s="1884"/>
      <c r="Y713" s="1884"/>
      <c r="Z713" s="1884"/>
      <c r="AA713" s="1884"/>
      <c r="AB713" s="1884"/>
      <c r="AC713" s="1884"/>
      <c r="AD713" s="1884"/>
      <c r="AE713" s="1885"/>
      <c r="AF713" s="1801"/>
      <c r="AG713" s="1802"/>
      <c r="AH713" s="1802"/>
      <c r="AI713" s="1802"/>
      <c r="AJ713" s="1802"/>
      <c r="AK713" s="1803"/>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77"/>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77"/>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77"/>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77"/>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77"/>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7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35" t="s">
        <v>2034</v>
      </c>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5"/>
      <c r="Z1" s="1935"/>
      <c r="AA1" s="1935"/>
      <c r="AB1" s="1935"/>
      <c r="AC1" s="1935"/>
      <c r="AD1" s="1935"/>
      <c r="AE1" s="1935"/>
      <c r="AF1" s="1935"/>
      <c r="AG1" s="1935"/>
      <c r="AH1" s="1935"/>
      <c r="AI1" s="1935"/>
      <c r="AJ1" s="1935"/>
      <c r="AK1" s="1935"/>
      <c r="AL1" s="1935"/>
      <c r="AM1" s="1935"/>
      <c r="AN1" s="1935"/>
      <c r="AO1" s="1935"/>
      <c r="AP1" s="1935"/>
      <c r="AQ1" s="1935"/>
    </row>
    <row r="2" spans="1:57" ht="15" customHeight="1">
      <c r="A2" s="1935"/>
      <c r="B2" s="1935"/>
      <c r="C2" s="1935"/>
      <c r="D2" s="1935"/>
      <c r="E2" s="1935"/>
      <c r="F2" s="1935"/>
      <c r="G2" s="1935"/>
      <c r="H2" s="1935"/>
      <c r="I2" s="1935"/>
      <c r="J2" s="1935"/>
      <c r="K2" s="1935"/>
      <c r="L2" s="1935"/>
      <c r="M2" s="1935"/>
      <c r="N2" s="1935"/>
      <c r="O2" s="1935"/>
      <c r="P2" s="1935"/>
      <c r="Q2" s="1935"/>
      <c r="R2" s="1935"/>
      <c r="S2" s="1935"/>
      <c r="T2" s="1935"/>
      <c r="U2" s="1935"/>
      <c r="V2" s="1935"/>
      <c r="W2" s="1935"/>
      <c r="X2" s="1935"/>
      <c r="Y2" s="1935"/>
      <c r="Z2" s="1935"/>
      <c r="AA2" s="1935"/>
      <c r="AB2" s="1935"/>
      <c r="AC2" s="1935"/>
      <c r="AD2" s="1935"/>
      <c r="AE2" s="1935"/>
      <c r="AF2" s="1935"/>
      <c r="AG2" s="1935"/>
      <c r="AH2" s="1935"/>
      <c r="AI2" s="1935"/>
      <c r="AJ2" s="1935"/>
      <c r="AK2" s="1935"/>
      <c r="AL2" s="1935"/>
      <c r="AM2" s="1935"/>
      <c r="AN2" s="1935"/>
      <c r="AO2" s="1935"/>
      <c r="AP2" s="1935"/>
      <c r="AQ2" s="1935"/>
    </row>
    <row r="3" spans="1:57">
      <c r="A3" s="898"/>
      <c r="B3" s="898"/>
      <c r="I3" s="899"/>
      <c r="K3" s="900"/>
    </row>
    <row r="4" spans="1:57" ht="14.25" customHeight="1">
      <c r="A4" s="1924" t="s">
        <v>2035</v>
      </c>
      <c r="B4" s="1924"/>
      <c r="C4" s="1924"/>
      <c r="D4" s="1924"/>
      <c r="E4" s="1924"/>
      <c r="F4" s="1924"/>
      <c r="G4" s="1924"/>
      <c r="H4" s="1924"/>
      <c r="I4" s="1924"/>
      <c r="J4" s="1924"/>
      <c r="K4" s="1924"/>
      <c r="L4" s="1924"/>
      <c r="M4" s="1924"/>
      <c r="N4" s="1924"/>
      <c r="O4" s="1924"/>
      <c r="P4" s="1924"/>
      <c r="Q4" s="1924"/>
      <c r="R4" s="1924"/>
      <c r="S4" s="1924"/>
      <c r="T4" s="1924"/>
      <c r="U4" s="1924"/>
      <c r="V4" s="1924"/>
      <c r="W4" s="1924"/>
      <c r="X4" s="1924"/>
      <c r="Y4" s="1924"/>
      <c r="Z4" s="1924"/>
      <c r="AA4" s="1924"/>
      <c r="AB4" s="1924"/>
      <c r="AC4" s="1924"/>
      <c r="AD4" s="1924"/>
      <c r="AE4" s="1924"/>
      <c r="AF4" s="1924"/>
      <c r="AG4" s="1924"/>
      <c r="AH4" s="1924"/>
      <c r="AI4" s="1924"/>
      <c r="AJ4" s="1924"/>
      <c r="AK4" s="1924"/>
      <c r="AL4" s="1924"/>
      <c r="AM4" s="1924"/>
      <c r="AN4" s="1924"/>
      <c r="AO4" s="1924"/>
      <c r="AP4" s="1924"/>
      <c r="AQ4" s="1924"/>
    </row>
    <row r="5" spans="1:57">
      <c r="A5" s="898"/>
      <c r="B5" s="898"/>
      <c r="I5" s="899"/>
      <c r="K5" s="900"/>
    </row>
    <row r="6" spans="1:57">
      <c r="A6" s="898"/>
      <c r="B6" s="898"/>
      <c r="D6" s="896" t="s">
        <v>2038</v>
      </c>
      <c r="I6" s="899"/>
      <c r="K6" s="900"/>
      <c r="U6" s="1934"/>
      <c r="V6" s="1934"/>
      <c r="W6" s="1934"/>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25"/>
      <c r="Q9" s="1925"/>
      <c r="R9" s="1925"/>
      <c r="S9" s="1925"/>
      <c r="T9" s="1925"/>
    </row>
    <row r="10" spans="1:57">
      <c r="A10" s="898"/>
      <c r="B10" s="898"/>
      <c r="I10" s="899"/>
      <c r="K10" s="900"/>
    </row>
    <row r="11" spans="1:57">
      <c r="A11" s="1924" t="s">
        <v>2041</v>
      </c>
      <c r="B11" s="1924"/>
      <c r="C11" s="1924"/>
      <c r="D11" s="1924"/>
      <c r="E11" s="1924"/>
      <c r="F11" s="1924"/>
      <c r="G11" s="1924"/>
      <c r="H11" s="1924"/>
      <c r="I11" s="1924"/>
      <c r="J11" s="1924"/>
      <c r="K11" s="1924"/>
      <c r="L11" s="1924"/>
      <c r="M11" s="1924"/>
      <c r="N11" s="1924"/>
      <c r="O11" s="1924"/>
      <c r="P11" s="1924"/>
      <c r="Q11" s="1924"/>
      <c r="R11" s="1924"/>
      <c r="S11" s="1924"/>
      <c r="T11" s="1924"/>
      <c r="U11" s="1924"/>
      <c r="V11" s="1924"/>
      <c r="W11" s="1924"/>
      <c r="X11" s="1924"/>
      <c r="Y11" s="1924"/>
      <c r="Z11" s="1924"/>
      <c r="AA11" s="1924"/>
      <c r="AB11" s="1924"/>
      <c r="AC11" s="1924"/>
      <c r="AD11" s="1924"/>
      <c r="AE11" s="1924"/>
      <c r="AF11" s="1924"/>
      <c r="AG11" s="1924"/>
      <c r="AH11" s="1924"/>
      <c r="AI11" s="1924"/>
      <c r="AJ11" s="1924"/>
      <c r="AK11" s="1924"/>
      <c r="AL11" s="1924"/>
      <c r="AM11" s="1924"/>
      <c r="AN11" s="1924"/>
      <c r="AO11" s="1924"/>
      <c r="AP11" s="1924"/>
      <c r="AQ11" s="1924"/>
      <c r="BC11" s="896" t="s">
        <v>108</v>
      </c>
    </row>
    <row r="12" spans="1:57">
      <c r="A12" s="898"/>
      <c r="B12" s="898"/>
      <c r="I12" s="899"/>
      <c r="K12" s="900"/>
      <c r="BC12" s="896" t="s">
        <v>482</v>
      </c>
    </row>
    <row r="13" spans="1:57">
      <c r="A13" s="898"/>
      <c r="B13" s="898"/>
      <c r="D13" s="896" t="s">
        <v>2042</v>
      </c>
      <c r="I13" s="899"/>
      <c r="K13" s="900"/>
      <c r="T13" s="1934"/>
      <c r="U13" s="1934"/>
      <c r="V13" s="1934"/>
    </row>
    <row r="14" spans="1:57">
      <c r="A14" s="898"/>
      <c r="B14" s="898"/>
      <c r="E14" s="896" t="s">
        <v>2049</v>
      </c>
      <c r="I14" s="899"/>
      <c r="K14" s="900"/>
      <c r="N14" s="1922"/>
      <c r="O14" s="1922"/>
      <c r="P14" s="1922"/>
      <c r="Q14" s="1922"/>
      <c r="R14" s="1922"/>
      <c r="S14" s="1922"/>
      <c r="T14" s="1922"/>
      <c r="U14" s="1922"/>
      <c r="V14" s="1922"/>
      <c r="W14" s="1922"/>
      <c r="X14" s="1922"/>
      <c r="Y14" s="1922"/>
      <c r="Z14" s="1922"/>
      <c r="AA14" s="1922"/>
      <c r="AB14" s="1922"/>
      <c r="AC14" s="1922"/>
      <c r="AD14" s="1922"/>
      <c r="AE14" s="1922"/>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1713181.4</v>
      </c>
    </row>
    <row r="16" spans="1:57">
      <c r="A16" s="898"/>
      <c r="B16" s="898"/>
      <c r="BC16" s="896" t="s">
        <v>2053</v>
      </c>
      <c r="BE16" s="896">
        <f>'Basis &amp; Credits'!T11+'Basis &amp; Credits'!AD11</f>
        <v>30953469</v>
      </c>
    </row>
    <row r="17" spans="1:43">
      <c r="A17" s="898"/>
      <c r="B17" s="898"/>
      <c r="D17" s="896" t="s">
        <v>2044</v>
      </c>
      <c r="I17" s="899"/>
      <c r="K17" s="900"/>
      <c r="U17" s="1923" t="str">
        <f>IF(T13="yes",(BE15/BE16)," ")</f>
        <v xml:space="preserve"> </v>
      </c>
      <c r="V17" s="1923"/>
      <c r="W17" s="1923"/>
      <c r="X17" s="1923"/>
      <c r="Y17" s="1923"/>
    </row>
    <row r="18" spans="1:43">
      <c r="A18" s="898"/>
      <c r="B18" s="898"/>
      <c r="I18" s="899"/>
      <c r="K18" s="900"/>
    </row>
    <row r="19" spans="1:43">
      <c r="A19" s="1924" t="s">
        <v>2046</v>
      </c>
      <c r="B19" s="1924"/>
      <c r="C19" s="1924"/>
      <c r="D19" s="1924"/>
      <c r="E19" s="1924"/>
      <c r="F19" s="1924"/>
      <c r="G19" s="1924"/>
      <c r="H19" s="1924"/>
      <c r="I19" s="1924"/>
      <c r="J19" s="1924"/>
      <c r="K19" s="1924"/>
      <c r="L19" s="1924"/>
      <c r="M19" s="1924"/>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4"/>
      <c r="AI19" s="1924"/>
      <c r="AJ19" s="1924"/>
      <c r="AK19" s="1924"/>
      <c r="AL19" s="1924"/>
      <c r="AM19" s="1924"/>
      <c r="AN19" s="1924"/>
      <c r="AO19" s="1924"/>
      <c r="AP19" s="1924"/>
      <c r="AQ19" s="1924"/>
    </row>
    <row r="20" spans="1:43">
      <c r="C20" s="898"/>
      <c r="D20" s="898"/>
      <c r="K20" s="899"/>
      <c r="M20" s="900"/>
    </row>
    <row r="21" spans="1:43">
      <c r="C21" s="898"/>
      <c r="D21" s="898"/>
      <c r="K21" s="899"/>
      <c r="M21" s="900"/>
    </row>
    <row r="22" spans="1:43">
      <c r="C22" s="901" t="s">
        <v>728</v>
      </c>
      <c r="D22" s="901"/>
      <c r="E22" s="896" t="s">
        <v>2047</v>
      </c>
      <c r="H22" s="902"/>
      <c r="K22" s="896"/>
      <c r="Q22" s="1926">
        <f>ROUND('Basis &amp; Credits'!AB55,0)</f>
        <v>1713181</v>
      </c>
      <c r="R22" s="1926"/>
      <c r="S22" s="1926"/>
      <c r="T22" s="1926"/>
      <c r="U22" s="1926"/>
      <c r="V22" s="1926"/>
      <c r="W22" s="1926"/>
      <c r="X22" s="1926"/>
      <c r="Y22" s="916"/>
    </row>
    <row r="23" spans="1:43">
      <c r="C23" s="898"/>
      <c r="D23" s="898"/>
      <c r="G23" s="903"/>
      <c r="H23" s="903"/>
      <c r="I23" s="904"/>
      <c r="J23" s="904"/>
      <c r="K23" s="903"/>
      <c r="M23" s="897"/>
    </row>
    <row r="24" spans="1:43">
      <c r="C24" s="905"/>
      <c r="D24" s="905"/>
      <c r="E24" s="906"/>
      <c r="J24" s="904"/>
      <c r="K24" s="896"/>
      <c r="L24" s="1933" t="s">
        <v>2024</v>
      </c>
      <c r="M24" s="1933"/>
      <c r="N24" s="1933"/>
      <c r="P24" s="1929" t="s">
        <v>2025</v>
      </c>
      <c r="Q24" s="1929"/>
      <c r="R24" s="1929"/>
      <c r="S24" s="1929"/>
      <c r="T24" s="1929"/>
      <c r="V24" s="1929" t="s">
        <v>2026</v>
      </c>
      <c r="W24" s="1929"/>
      <c r="X24" s="1929"/>
    </row>
    <row r="25" spans="1:43">
      <c r="C25" s="901" t="s">
        <v>190</v>
      </c>
      <c r="D25" s="901"/>
      <c r="E25" s="896" t="s">
        <v>986</v>
      </c>
      <c r="J25" s="904"/>
      <c r="L25" s="1930" t="s">
        <v>2027</v>
      </c>
      <c r="M25" s="1930"/>
      <c r="N25" s="1930"/>
      <c r="P25" s="1930" t="s">
        <v>2028</v>
      </c>
      <c r="Q25" s="1930"/>
      <c r="R25" s="1930"/>
      <c r="S25" s="1930"/>
      <c r="T25" s="1930"/>
      <c r="V25" s="1930" t="s">
        <v>2027</v>
      </c>
      <c r="W25" s="1930"/>
      <c r="X25" s="1930"/>
    </row>
    <row r="26" spans="1:43">
      <c r="C26" s="898"/>
      <c r="D26" s="898"/>
      <c r="E26" s="907" t="s">
        <v>2029</v>
      </c>
      <c r="F26" s="907"/>
      <c r="J26" s="908"/>
      <c r="L26" s="1927">
        <f>Application!BN626</f>
        <v>0</v>
      </c>
      <c r="M26" s="1927"/>
      <c r="N26" s="1927"/>
      <c r="P26" s="1931">
        <v>0.9</v>
      </c>
      <c r="Q26" s="1931"/>
      <c r="R26" s="1931"/>
      <c r="S26" s="1931"/>
      <c r="T26" s="1931"/>
      <c r="V26" s="1931">
        <f>L26*P26</f>
        <v>0</v>
      </c>
      <c r="W26" s="1931"/>
      <c r="X26" s="1931"/>
    </row>
    <row r="27" spans="1:43">
      <c r="C27" s="898"/>
      <c r="D27" s="898"/>
      <c r="E27" s="896" t="s">
        <v>2030</v>
      </c>
      <c r="J27" s="908"/>
      <c r="L27" s="1936">
        <f>Application!BS626</f>
        <v>0</v>
      </c>
      <c r="M27" s="1936">
        <f>Application!BS634+Application!BS643+Application!CX657</f>
        <v>0</v>
      </c>
      <c r="N27" s="1936"/>
      <c r="P27" s="1932">
        <v>1</v>
      </c>
      <c r="Q27" s="1932"/>
      <c r="R27" s="1932"/>
      <c r="S27" s="1932"/>
      <c r="T27" s="1932"/>
      <c r="V27" s="1932">
        <f>L27*P27</f>
        <v>0</v>
      </c>
      <c r="W27" s="1932"/>
      <c r="X27" s="1932"/>
    </row>
    <row r="28" spans="1:43">
      <c r="C28" s="898"/>
      <c r="D28" s="898"/>
      <c r="E28" s="896" t="s">
        <v>2031</v>
      </c>
      <c r="J28" s="908"/>
      <c r="L28" s="1936">
        <f>Application!BX626</f>
        <v>31</v>
      </c>
      <c r="M28" s="1936">
        <f>Application!BX634+Application!BX643+Application!DC657</f>
        <v>0</v>
      </c>
      <c r="N28" s="1936"/>
      <c r="P28" s="1932">
        <v>1.25</v>
      </c>
      <c r="Q28" s="1932"/>
      <c r="R28" s="1932"/>
      <c r="S28" s="1932"/>
      <c r="T28" s="1932"/>
      <c r="V28" s="1932">
        <f>L28*P28</f>
        <v>38.75</v>
      </c>
      <c r="W28" s="1932"/>
      <c r="X28" s="1932"/>
    </row>
    <row r="29" spans="1:43">
      <c r="C29" s="898"/>
      <c r="D29" s="898"/>
      <c r="E29" s="896" t="s">
        <v>2032</v>
      </c>
      <c r="J29" s="908"/>
      <c r="L29" s="1936">
        <f>Application!CC626</f>
        <v>32</v>
      </c>
      <c r="M29" s="1936">
        <f>Application!CC634+Application!CC643+Application!DH657</f>
        <v>0</v>
      </c>
      <c r="N29" s="1936"/>
      <c r="P29" s="1932">
        <v>1.5</v>
      </c>
      <c r="Q29" s="1932"/>
      <c r="R29" s="1932"/>
      <c r="S29" s="1932"/>
      <c r="T29" s="1932"/>
      <c r="V29" s="1932">
        <f>L29*P29</f>
        <v>48</v>
      </c>
      <c r="W29" s="1932"/>
      <c r="X29" s="1932"/>
    </row>
    <row r="30" spans="1:43">
      <c r="C30" s="898"/>
      <c r="D30" s="898"/>
      <c r="E30" s="896" t="s">
        <v>2033</v>
      </c>
      <c r="J30" s="908"/>
      <c r="L30" s="1937">
        <f>Application!CH626+Application!CM626</f>
        <v>0</v>
      </c>
      <c r="M30" s="1937"/>
      <c r="N30" s="1937"/>
      <c r="P30" s="1932">
        <v>1.75</v>
      </c>
      <c r="Q30" s="1932"/>
      <c r="R30" s="1932">
        <f>1.75+0.25*0</f>
        <v>1.75</v>
      </c>
      <c r="S30" s="1932"/>
      <c r="T30" s="1932"/>
      <c r="V30" s="1941">
        <f>L30*P30</f>
        <v>0</v>
      </c>
      <c r="W30" s="1941"/>
      <c r="X30" s="1941"/>
    </row>
    <row r="31" spans="1:43">
      <c r="C31" s="898"/>
      <c r="D31" s="898"/>
      <c r="L31" s="1927">
        <f>SUM(L26:N30)</f>
        <v>63</v>
      </c>
      <c r="M31" s="1928"/>
      <c r="N31" s="1928"/>
      <c r="V31" s="1931">
        <f>SUM(V26:X30)</f>
        <v>86.75</v>
      </c>
      <c r="W31" s="1931"/>
      <c r="X31" s="1931"/>
    </row>
    <row r="32" spans="1:43">
      <c r="C32" s="898"/>
      <c r="D32" s="898"/>
      <c r="K32" s="909"/>
    </row>
    <row r="33" spans="1:27">
      <c r="C33" s="901" t="s">
        <v>191</v>
      </c>
      <c r="D33" s="901"/>
      <c r="E33" s="898" t="s">
        <v>2048</v>
      </c>
      <c r="H33" s="910"/>
      <c r="I33" s="911"/>
      <c r="J33" s="912"/>
      <c r="K33" s="909"/>
      <c r="M33" s="897"/>
      <c r="V33" s="1938">
        <f>IF(V31&gt;0,V31/Q22," ")</f>
        <v>5.0636797863156316E-5</v>
      </c>
      <c r="W33" s="1939"/>
      <c r="X33" s="1939"/>
      <c r="Y33" s="1939"/>
      <c r="Z33" s="1939"/>
      <c r="AA33" s="1940"/>
    </row>
    <row r="34" spans="1:27">
      <c r="K34" s="896"/>
      <c r="M34" s="897"/>
    </row>
    <row r="35" spans="1:27">
      <c r="E35" s="898" t="s">
        <v>2054</v>
      </c>
      <c r="F35" s="898"/>
      <c r="G35" s="898"/>
      <c r="H35" s="898"/>
      <c r="I35" s="898"/>
      <c r="J35" s="898"/>
      <c r="K35" s="898"/>
      <c r="L35" s="898"/>
      <c r="M35" s="918"/>
      <c r="N35" s="898"/>
      <c r="O35" s="898"/>
      <c r="P35" s="898"/>
      <c r="Q35" s="898"/>
      <c r="R35" s="898"/>
      <c r="V35" s="1919">
        <f>IF(V31&gt;0,1/V33," ")</f>
        <v>19748.484149855907</v>
      </c>
      <c r="W35" s="1920"/>
      <c r="X35" s="1920"/>
      <c r="Y35" s="1920"/>
      <c r="Z35" s="1920"/>
      <c r="AA35" s="192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0" workbookViewId="0">
      <selection activeCell="Q60" sqref="Q60"/>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58" t="s">
        <v>1862</v>
      </c>
      <c r="B1" s="1958"/>
      <c r="C1" s="1958"/>
      <c r="D1" s="1958"/>
      <c r="E1" s="1958"/>
      <c r="F1" s="1958"/>
      <c r="G1" s="1958"/>
      <c r="H1" s="1958"/>
      <c r="I1" s="1958"/>
      <c r="J1" s="1958"/>
      <c r="K1" s="1958"/>
      <c r="L1" s="1958"/>
      <c r="M1" s="1958"/>
      <c r="N1" s="1958"/>
      <c r="O1" s="1958"/>
      <c r="P1" s="1958"/>
      <c r="Q1" s="1958"/>
      <c r="R1" s="1958"/>
      <c r="S1" s="1958"/>
    </row>
    <row r="2" spans="1:19" ht="15" customHeight="1">
      <c r="A2" s="1958"/>
      <c r="B2" s="1958"/>
      <c r="C2" s="1958"/>
      <c r="D2" s="1958"/>
      <c r="E2" s="1958"/>
      <c r="F2" s="1958"/>
      <c r="G2" s="1958"/>
      <c r="H2" s="1958"/>
      <c r="I2" s="1958"/>
      <c r="J2" s="1958"/>
      <c r="K2" s="1958"/>
      <c r="L2" s="1958"/>
      <c r="M2" s="1958"/>
      <c r="N2" s="1958"/>
      <c r="O2" s="1958"/>
      <c r="P2" s="1958"/>
      <c r="Q2" s="1958"/>
      <c r="R2" s="1958"/>
      <c r="S2" s="195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42" t="s">
        <v>2119</v>
      </c>
      <c r="C4" s="1942"/>
      <c r="D4" s="1942"/>
      <c r="E4" s="1942"/>
      <c r="F4" s="1942"/>
      <c r="G4" s="1942"/>
      <c r="H4" s="1942"/>
      <c r="I4" s="1942"/>
      <c r="J4" s="1942"/>
      <c r="K4" s="1942"/>
      <c r="L4" s="1942"/>
      <c r="M4" s="1942"/>
      <c r="N4" s="1942"/>
      <c r="O4" s="1942"/>
      <c r="P4" s="1942"/>
      <c r="Q4" s="1942"/>
      <c r="R4" s="1942"/>
    </row>
    <row r="5" spans="1:19" ht="15" customHeight="1">
      <c r="A5" s="507"/>
      <c r="B5" s="1942"/>
      <c r="C5" s="1942"/>
      <c r="D5" s="1942"/>
      <c r="E5" s="1942"/>
      <c r="F5" s="1942"/>
      <c r="G5" s="1942"/>
      <c r="H5" s="1942"/>
      <c r="I5" s="1942"/>
      <c r="J5" s="1942"/>
      <c r="K5" s="1942"/>
      <c r="L5" s="1942"/>
      <c r="M5" s="1942"/>
      <c r="N5" s="1942"/>
      <c r="O5" s="1942"/>
      <c r="P5" s="1942"/>
      <c r="Q5" s="1942"/>
      <c r="R5" s="1942"/>
    </row>
    <row r="6" spans="1:19" ht="15" customHeight="1">
      <c r="A6" s="507"/>
      <c r="B6" s="1942"/>
      <c r="C6" s="1942"/>
      <c r="D6" s="1942"/>
      <c r="E6" s="1942"/>
      <c r="F6" s="1942"/>
      <c r="G6" s="1942"/>
      <c r="H6" s="1942"/>
      <c r="I6" s="1942"/>
      <c r="J6" s="1942"/>
      <c r="K6" s="1942"/>
      <c r="L6" s="1942"/>
      <c r="M6" s="1942"/>
      <c r="N6" s="1942"/>
      <c r="O6" s="1942"/>
      <c r="P6" s="1942"/>
      <c r="Q6" s="1942"/>
      <c r="R6" s="194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42" t="s">
        <v>2227</v>
      </c>
      <c r="C8" s="1942"/>
      <c r="D8" s="1942"/>
      <c r="E8" s="1942"/>
      <c r="F8" s="1942"/>
      <c r="G8" s="1942"/>
      <c r="H8" s="1942"/>
      <c r="I8" s="1942"/>
      <c r="J8" s="1942"/>
      <c r="K8" s="1942"/>
      <c r="L8" s="1942"/>
      <c r="M8" s="1942"/>
      <c r="N8" s="1942"/>
      <c r="O8" s="1942"/>
      <c r="P8" s="1942"/>
      <c r="Q8" s="1942"/>
      <c r="R8" s="194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42" t="s">
        <v>2205</v>
      </c>
      <c r="C10" s="1942"/>
      <c r="D10" s="1942"/>
      <c r="E10" s="1942"/>
      <c r="F10" s="1942"/>
      <c r="G10" s="1942"/>
      <c r="H10" s="1942"/>
      <c r="I10" s="1942"/>
      <c r="J10" s="1942"/>
      <c r="K10" s="1942"/>
      <c r="L10" s="1942"/>
      <c r="M10" s="1942"/>
      <c r="N10" s="1942"/>
      <c r="O10" s="1942"/>
      <c r="P10" s="1942"/>
      <c r="Q10" s="1942"/>
      <c r="R10" s="1942"/>
    </row>
    <row r="11" spans="1:19" ht="29.25" customHeight="1">
      <c r="A11" s="507"/>
      <c r="B11" s="1942"/>
      <c r="C11" s="1942"/>
      <c r="D11" s="1942"/>
      <c r="E11" s="1942"/>
      <c r="F11" s="1942"/>
      <c r="G11" s="1942"/>
      <c r="H11" s="1942"/>
      <c r="I11" s="1942"/>
      <c r="J11" s="1942"/>
      <c r="K11" s="1942"/>
      <c r="L11" s="1942"/>
      <c r="M11" s="1942"/>
      <c r="N11" s="1942"/>
      <c r="O11" s="1942"/>
      <c r="P11" s="1942"/>
      <c r="Q11" s="1942"/>
      <c r="R11" s="194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42" t="s">
        <v>2120</v>
      </c>
      <c r="C13" s="1942"/>
      <c r="D13" s="1942"/>
      <c r="E13" s="1942"/>
      <c r="F13" s="1942"/>
      <c r="G13" s="1942"/>
      <c r="H13" s="1942"/>
      <c r="I13" s="1942"/>
      <c r="J13" s="1942"/>
      <c r="K13" s="1942"/>
      <c r="L13" s="1942"/>
      <c r="M13" s="1942"/>
      <c r="N13" s="1942"/>
      <c r="O13" s="1942"/>
      <c r="P13" s="1942"/>
      <c r="Q13" s="1942"/>
      <c r="R13" s="1942"/>
    </row>
    <row r="14" spans="1:19" ht="15" customHeight="1">
      <c r="A14" s="507"/>
      <c r="B14" s="1942"/>
      <c r="C14" s="1942"/>
      <c r="D14" s="1942"/>
      <c r="E14" s="1942"/>
      <c r="F14" s="1942"/>
      <c r="G14" s="1942"/>
      <c r="H14" s="1942"/>
      <c r="I14" s="1942"/>
      <c r="J14" s="1942"/>
      <c r="K14" s="1942"/>
      <c r="L14" s="1942"/>
      <c r="M14" s="1942"/>
      <c r="N14" s="1942"/>
      <c r="O14" s="1942"/>
      <c r="P14" s="1942"/>
      <c r="Q14" s="1942"/>
      <c r="R14" s="1942"/>
    </row>
    <row r="15" spans="1:19" ht="15" customHeight="1">
      <c r="A15" s="507"/>
      <c r="B15" s="1942"/>
      <c r="C15" s="1942"/>
      <c r="D15" s="1942"/>
      <c r="E15" s="1942"/>
      <c r="F15" s="1942"/>
      <c r="G15" s="1942"/>
      <c r="H15" s="1942"/>
      <c r="I15" s="1942"/>
      <c r="J15" s="1942"/>
      <c r="K15" s="1942"/>
      <c r="L15" s="1942"/>
      <c r="M15" s="1942"/>
      <c r="N15" s="1942"/>
      <c r="O15" s="1942"/>
      <c r="P15" s="1942"/>
      <c r="Q15" s="1942"/>
      <c r="R15" s="1942"/>
    </row>
    <row r="16" spans="1:19" ht="15" customHeight="1">
      <c r="A16" s="507"/>
      <c r="B16" s="1942"/>
      <c r="C16" s="1942"/>
      <c r="D16" s="1942"/>
      <c r="E16" s="1942"/>
      <c r="F16" s="1942"/>
      <c r="G16" s="1942"/>
      <c r="H16" s="1942"/>
      <c r="I16" s="1942"/>
      <c r="J16" s="1942"/>
      <c r="K16" s="1942"/>
      <c r="L16" s="1942"/>
      <c r="M16" s="1942"/>
      <c r="N16" s="1942"/>
      <c r="O16" s="1942"/>
      <c r="P16" s="1942"/>
      <c r="Q16" s="1942"/>
      <c r="R16" s="1942"/>
    </row>
    <row r="17" spans="1:18" ht="15" customHeight="1">
      <c r="A17" s="507"/>
      <c r="B17" s="1942"/>
      <c r="C17" s="1942"/>
      <c r="D17" s="1942"/>
      <c r="E17" s="1942"/>
      <c r="F17" s="1942"/>
      <c r="G17" s="1942"/>
      <c r="H17" s="1942"/>
      <c r="I17" s="1942"/>
      <c r="J17" s="1942"/>
      <c r="K17" s="1942"/>
      <c r="L17" s="1942"/>
      <c r="M17" s="1942"/>
      <c r="N17" s="1942"/>
      <c r="O17" s="1942"/>
      <c r="P17" s="1942"/>
      <c r="Q17" s="1942"/>
      <c r="R17" s="194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42" t="s">
        <v>1801</v>
      </c>
      <c r="C19" s="1942"/>
      <c r="D19" s="1942"/>
      <c r="E19" s="1942"/>
      <c r="F19" s="1942"/>
      <c r="G19" s="1942"/>
      <c r="H19" s="1942"/>
      <c r="I19" s="1942"/>
      <c r="J19" s="1942"/>
      <c r="K19" s="1942"/>
      <c r="L19" s="1942"/>
      <c r="M19" s="1942"/>
      <c r="N19" s="1942"/>
      <c r="O19" s="1942"/>
      <c r="P19" s="1942"/>
      <c r="Q19" s="1942"/>
      <c r="R19" s="1942"/>
    </row>
    <row r="20" spans="1:18" ht="15" customHeight="1">
      <c r="A20" s="507"/>
      <c r="B20" s="1942"/>
      <c r="C20" s="1942"/>
      <c r="D20" s="1942"/>
      <c r="E20" s="1942"/>
      <c r="F20" s="1942"/>
      <c r="G20" s="1942"/>
      <c r="H20" s="1942"/>
      <c r="I20" s="1942"/>
      <c r="J20" s="1942"/>
      <c r="K20" s="1942"/>
      <c r="L20" s="1942"/>
      <c r="M20" s="1942"/>
      <c r="N20" s="1942"/>
      <c r="O20" s="1942"/>
      <c r="P20" s="1942"/>
      <c r="Q20" s="1942"/>
      <c r="R20" s="1942"/>
    </row>
    <row r="21" spans="1:18" ht="15" customHeight="1">
      <c r="A21" s="507"/>
      <c r="B21" s="1942"/>
      <c r="C21" s="1942"/>
      <c r="D21" s="1942"/>
      <c r="E21" s="1942"/>
      <c r="F21" s="1942"/>
      <c r="G21" s="1942"/>
      <c r="H21" s="1942"/>
      <c r="I21" s="1942"/>
      <c r="J21" s="1942"/>
      <c r="K21" s="1942"/>
      <c r="L21" s="1942"/>
      <c r="M21" s="1942"/>
      <c r="N21" s="1942"/>
      <c r="O21" s="1942"/>
      <c r="P21" s="1942"/>
      <c r="Q21" s="1942"/>
      <c r="R21" s="194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42" t="s">
        <v>1802</v>
      </c>
      <c r="C23" s="1942"/>
      <c r="D23" s="1942"/>
      <c r="E23" s="1942"/>
      <c r="F23" s="1942"/>
      <c r="G23" s="1942"/>
      <c r="H23" s="1942"/>
      <c r="I23" s="1942"/>
      <c r="J23" s="1942"/>
      <c r="K23" s="1942"/>
      <c r="L23" s="1942"/>
      <c r="M23" s="1942"/>
      <c r="N23" s="1942"/>
      <c r="O23" s="1942"/>
      <c r="P23" s="1942"/>
      <c r="Q23" s="1942"/>
      <c r="R23" s="1942"/>
    </row>
    <row r="24" spans="1:18" ht="15" customHeight="1">
      <c r="B24" s="1942"/>
      <c r="C24" s="1942"/>
      <c r="D24" s="1942"/>
      <c r="E24" s="1942"/>
      <c r="F24" s="1942"/>
      <c r="G24" s="1942"/>
      <c r="H24" s="1942"/>
      <c r="I24" s="1942"/>
      <c r="J24" s="1942"/>
      <c r="K24" s="1942"/>
      <c r="L24" s="1942"/>
      <c r="M24" s="1942"/>
      <c r="N24" s="1942"/>
      <c r="O24" s="1942"/>
      <c r="P24" s="1942"/>
      <c r="Q24" s="1942"/>
      <c r="R24" s="194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42" t="s">
        <v>1695</v>
      </c>
      <c r="C26" s="1942"/>
      <c r="D26" s="1942"/>
      <c r="E26" s="1942"/>
      <c r="F26" s="1942"/>
      <c r="G26" s="1942"/>
      <c r="H26" s="1942"/>
      <c r="I26" s="1942"/>
      <c r="J26" s="1942"/>
      <c r="K26" s="1942"/>
      <c r="L26" s="1942"/>
      <c r="M26" s="1942"/>
      <c r="N26" s="1942"/>
      <c r="O26" s="1942"/>
      <c r="P26" s="1942"/>
      <c r="Q26" s="1942"/>
      <c r="R26" s="194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0" t="s">
        <v>1608</v>
      </c>
      <c r="C29" s="1950"/>
      <c r="D29" s="1950"/>
      <c r="E29" s="1950"/>
      <c r="F29" s="1950"/>
      <c r="G29" s="1950"/>
      <c r="H29" s="376"/>
      <c r="I29" s="376"/>
      <c r="J29" s="376"/>
      <c r="K29" s="376"/>
      <c r="L29" s="376"/>
      <c r="M29" s="376"/>
      <c r="N29" s="376"/>
      <c r="O29" s="1948" t="s">
        <v>1617</v>
      </c>
    </row>
    <row r="30" spans="1:18" ht="15" customHeight="1">
      <c r="B30" s="1950"/>
      <c r="C30" s="1950"/>
      <c r="D30" s="1950"/>
      <c r="E30" s="1950"/>
      <c r="F30" s="1950"/>
      <c r="G30" s="1950"/>
      <c r="H30" s="376"/>
      <c r="I30" s="376"/>
      <c r="J30" s="376"/>
      <c r="K30" s="376"/>
      <c r="L30" s="376"/>
      <c r="M30" s="376"/>
      <c r="N30" s="376"/>
      <c r="O30" s="1948"/>
    </row>
    <row r="31" spans="1:18" ht="15" customHeight="1">
      <c r="B31" s="1950"/>
      <c r="C31" s="1950"/>
      <c r="D31" s="1950"/>
      <c r="E31" s="1950"/>
      <c r="F31" s="1950"/>
      <c r="G31" s="1950"/>
      <c r="H31" s="376"/>
      <c r="I31" s="376"/>
      <c r="J31" s="376"/>
      <c r="K31" s="376"/>
      <c r="L31" s="376"/>
      <c r="M31" s="376"/>
      <c r="N31" s="376"/>
      <c r="O31" s="1948"/>
    </row>
    <row r="32" spans="1:18" ht="15" customHeight="1">
      <c r="B32" s="1951"/>
      <c r="C32" s="1951"/>
      <c r="D32" s="1951"/>
      <c r="E32" s="1951"/>
      <c r="F32" s="1951"/>
      <c r="G32" s="1951"/>
      <c r="I32" s="1952" t="s">
        <v>139</v>
      </c>
      <c r="J32" s="1953" t="s">
        <v>992</v>
      </c>
      <c r="K32" s="1954">
        <v>1</v>
      </c>
      <c r="M32" s="509"/>
      <c r="O32" s="1949"/>
      <c r="P32" s="1953" t="s">
        <v>1940</v>
      </c>
    </row>
    <row r="33" spans="1:21" ht="15" customHeight="1">
      <c r="B33" s="1955" t="s">
        <v>1612</v>
      </c>
      <c r="C33" s="1955"/>
      <c r="D33" s="1955"/>
      <c r="E33" s="1955"/>
      <c r="F33" s="1955"/>
      <c r="G33" s="1955"/>
      <c r="I33" s="1952"/>
      <c r="J33" s="1953"/>
      <c r="K33" s="1954"/>
      <c r="M33" s="510"/>
      <c r="O33" s="1955" t="s">
        <v>1612</v>
      </c>
      <c r="P33" s="1953"/>
    </row>
    <row r="34" spans="1:21" ht="15" customHeight="1">
      <c r="B34" s="1952"/>
      <c r="C34" s="1952"/>
      <c r="D34" s="1952"/>
      <c r="E34" s="1952"/>
      <c r="F34" s="1952"/>
      <c r="G34" s="1952"/>
      <c r="I34" s="648"/>
      <c r="J34" s="647"/>
      <c r="K34" s="527"/>
      <c r="M34" s="510"/>
      <c r="O34" s="195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9" t="s">
        <v>1602</v>
      </c>
      <c r="C37" s="1959"/>
      <c r="D37" s="1959"/>
      <c r="E37" s="1959"/>
      <c r="F37" s="516"/>
      <c r="G37" s="516"/>
      <c r="H37" s="517"/>
      <c r="I37" s="376"/>
      <c r="J37" s="376"/>
      <c r="L37" s="529"/>
      <c r="M37" s="529"/>
      <c r="N37" s="529"/>
      <c r="O37" s="529"/>
      <c r="P37" s="529"/>
      <c r="Q37" s="529"/>
      <c r="R37" s="529"/>
      <c r="S37" s="529"/>
    </row>
    <row r="38" spans="1:21" ht="15" customHeight="1">
      <c r="B38" s="1964" t="s">
        <v>1618</v>
      </c>
      <c r="C38" s="1964"/>
      <c r="D38" s="1964"/>
      <c r="E38" s="1964"/>
      <c r="F38" s="650"/>
      <c r="G38" s="518">
        <f>D110</f>
        <v>0</v>
      </c>
      <c r="H38" s="384"/>
      <c r="I38" s="519"/>
      <c r="J38" s="384"/>
      <c r="K38" s="1971" t="s">
        <v>2224</v>
      </c>
      <c r="L38" s="1971"/>
      <c r="M38" s="1971"/>
      <c r="N38" s="1971"/>
      <c r="O38" s="1971"/>
      <c r="P38" s="1971"/>
      <c r="Q38" s="1971"/>
      <c r="R38" s="1971"/>
      <c r="S38" s="1971"/>
    </row>
    <row r="39" spans="1:21" ht="15" customHeight="1">
      <c r="B39" s="1965" t="s">
        <v>1283</v>
      </c>
      <c r="C39" s="1965"/>
      <c r="D39" s="1965"/>
      <c r="E39" s="1965"/>
      <c r="F39" s="650"/>
      <c r="G39" s="632"/>
      <c r="H39" s="384"/>
      <c r="I39" s="519"/>
      <c r="J39" s="384"/>
      <c r="K39" s="1971"/>
      <c r="L39" s="1971"/>
      <c r="M39" s="1971"/>
      <c r="N39" s="1971"/>
      <c r="O39" s="1971"/>
      <c r="P39" s="1971"/>
      <c r="Q39" s="1971"/>
      <c r="R39" s="1971"/>
      <c r="S39" s="1971"/>
    </row>
    <row r="40" spans="1:21" ht="15" customHeight="1">
      <c r="B40" s="1965" t="s">
        <v>1284</v>
      </c>
      <c r="C40" s="1965"/>
      <c r="D40" s="1965"/>
      <c r="E40" s="1965"/>
      <c r="F40" s="650"/>
      <c r="G40" s="632"/>
      <c r="H40" s="384"/>
      <c r="I40" s="519"/>
      <c r="J40" s="384"/>
      <c r="K40" s="1971"/>
      <c r="L40" s="1971"/>
      <c r="M40" s="1971"/>
      <c r="N40" s="1971"/>
      <c r="O40" s="1971"/>
      <c r="P40" s="1971"/>
      <c r="Q40" s="1971"/>
      <c r="R40" s="1971"/>
      <c r="S40" s="1971"/>
    </row>
    <row r="41" spans="1:21" ht="15" customHeight="1">
      <c r="B41" s="1966" t="s">
        <v>1613</v>
      </c>
      <c r="C41" s="1966"/>
      <c r="D41" s="1966"/>
      <c r="E41" s="1966"/>
      <c r="F41" s="650"/>
      <c r="G41" s="384"/>
      <c r="H41" s="384"/>
      <c r="I41" s="519"/>
      <c r="J41" s="384"/>
      <c r="K41" s="1970" t="s">
        <v>124</v>
      </c>
      <c r="L41" s="1970"/>
      <c r="M41" s="1970"/>
      <c r="N41" s="1970"/>
      <c r="O41" s="1970"/>
      <c r="P41" s="1970"/>
      <c r="Q41" s="1970"/>
      <c r="R41" s="1970"/>
      <c r="S41" s="1970"/>
    </row>
    <row r="42" spans="1:21" ht="15" customHeight="1">
      <c r="B42" s="634" t="s">
        <v>2463</v>
      </c>
      <c r="C42" s="634"/>
      <c r="D42" s="628"/>
      <c r="E42" s="652">
        <f>+Application!AO622</f>
        <v>6230384</v>
      </c>
      <c r="F42" s="650"/>
      <c r="G42" s="384"/>
      <c r="H42" s="384"/>
      <c r="I42" s="519"/>
      <c r="J42" s="384"/>
      <c r="K42" s="1969"/>
      <c r="L42" s="1969"/>
      <c r="M42" s="1969"/>
      <c r="N42" s="1969"/>
      <c r="O42" s="1969"/>
      <c r="Q42" s="1972"/>
      <c r="R42" s="1972"/>
      <c r="U42" s="754" t="s">
        <v>124</v>
      </c>
    </row>
    <row r="43" spans="1:21" ht="15" customHeight="1">
      <c r="B43" s="634" t="s">
        <v>2464</v>
      </c>
      <c r="C43" s="634"/>
      <c r="D43" s="504"/>
      <c r="E43" s="652">
        <f>+Application!AO623</f>
        <v>2165681</v>
      </c>
      <c r="F43" s="650"/>
      <c r="G43" s="384"/>
      <c r="H43" s="384"/>
      <c r="I43" s="519"/>
      <c r="J43" s="384"/>
      <c r="L43" s="384"/>
      <c r="M43" s="376"/>
      <c r="N43" s="376"/>
      <c r="O43" s="376"/>
      <c r="Q43" s="520"/>
      <c r="R43" s="520"/>
      <c r="U43" s="754" t="s">
        <v>2223</v>
      </c>
    </row>
    <row r="44" spans="1:21" ht="15" customHeight="1">
      <c r="B44" s="634" t="s">
        <v>2458</v>
      </c>
      <c r="C44" s="634"/>
      <c r="D44" s="504"/>
      <c r="E44" s="652">
        <f>+Application!AO624</f>
        <v>2570805</v>
      </c>
      <c r="F44" s="650"/>
      <c r="G44" s="384"/>
      <c r="H44" s="384"/>
      <c r="I44" s="519"/>
      <c r="K44" s="383" t="s">
        <v>1853</v>
      </c>
      <c r="Q44" s="1972"/>
      <c r="R44" s="1972"/>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46" t="s">
        <v>1849</v>
      </c>
      <c r="L46" s="1946"/>
      <c r="M46" s="1946"/>
      <c r="N46" s="1946"/>
      <c r="O46" s="1946"/>
      <c r="Q46" s="1943"/>
      <c r="R46" s="1943"/>
    </row>
    <row r="47" spans="1:21" ht="15" customHeight="1">
      <c r="B47" s="634"/>
      <c r="C47" s="634"/>
      <c r="D47" s="504"/>
      <c r="E47" s="652"/>
      <c r="F47" s="650"/>
      <c r="G47" s="384"/>
      <c r="H47" s="384"/>
      <c r="I47" s="519"/>
      <c r="J47" s="384"/>
      <c r="K47" s="1947" t="s">
        <v>1850</v>
      </c>
      <c r="L47" s="1947"/>
      <c r="M47" s="1947"/>
      <c r="N47" s="1947"/>
      <c r="O47" s="1947"/>
      <c r="Q47" s="1945"/>
      <c r="R47" s="1945"/>
    </row>
    <row r="48" spans="1:21" ht="15" customHeight="1">
      <c r="B48" s="634"/>
      <c r="C48" s="634"/>
      <c r="D48" s="504"/>
      <c r="E48" s="652"/>
      <c r="F48" s="650"/>
      <c r="G48" s="384"/>
      <c r="H48" s="384"/>
      <c r="I48" s="519"/>
      <c r="J48" s="384"/>
      <c r="K48" s="1944" t="s">
        <v>1851</v>
      </c>
      <c r="L48" s="1944"/>
      <c r="M48" s="1944"/>
      <c r="N48" s="1944"/>
      <c r="O48" s="1944"/>
      <c r="Q48" s="1946">
        <f>Q46+Q47</f>
        <v>0</v>
      </c>
      <c r="R48" s="194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64" t="s">
        <v>1609</v>
      </c>
      <c r="C52" s="1964"/>
      <c r="D52" s="1964"/>
      <c r="E52" s="1964"/>
      <c r="F52" s="650"/>
      <c r="G52" s="518">
        <f>SUM(E42:E49)-ABS(E50)-ABS(E51)</f>
        <v>10966870</v>
      </c>
      <c r="H52" s="384"/>
      <c r="I52" s="519"/>
      <c r="J52" s="384"/>
    </row>
    <row r="53" spans="1:29" ht="15" customHeight="1">
      <c r="C53" s="523"/>
      <c r="D53" s="523" t="s">
        <v>875</v>
      </c>
      <c r="E53" s="523"/>
      <c r="F53" s="523"/>
      <c r="G53" s="524">
        <f>SUM(G38:G40)+G52</f>
        <v>10966870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67" t="s">
        <v>1264</v>
      </c>
      <c r="C56" s="1967"/>
      <c r="D56" s="650"/>
      <c r="E56" s="650"/>
      <c r="F56" s="650"/>
      <c r="G56" s="650"/>
      <c r="H56" s="650"/>
      <c r="I56" s="650"/>
      <c r="J56" s="650"/>
      <c r="K56" s="650"/>
      <c r="L56" s="650"/>
      <c r="M56" s="650"/>
      <c r="N56" s="650"/>
      <c r="O56" s="650"/>
      <c r="P56" s="650"/>
      <c r="U56" s="952" t="s">
        <v>1796</v>
      </c>
      <c r="AC56" s="953">
        <v>0.2</v>
      </c>
    </row>
    <row r="57" spans="1:29" ht="15" customHeight="1">
      <c r="A57" s="521"/>
      <c r="B57" s="1968" t="s">
        <v>1604</v>
      </c>
      <c r="C57" s="1968"/>
      <c r="D57" s="1968"/>
      <c r="E57" s="1968"/>
      <c r="F57" s="1968"/>
      <c r="G57" s="1968"/>
      <c r="H57" s="1968"/>
      <c r="I57" s="1968"/>
      <c r="J57" s="1968"/>
      <c r="K57" s="1968"/>
      <c r="L57" s="1968"/>
      <c r="M57" s="1968"/>
      <c r="N57" s="1968"/>
      <c r="O57" s="1968"/>
      <c r="P57" s="650"/>
      <c r="U57" s="952" t="s">
        <v>1797</v>
      </c>
      <c r="AC57" s="953">
        <v>0.1</v>
      </c>
    </row>
    <row r="58" spans="1:29" ht="15" customHeight="1">
      <c r="B58" s="1959" t="s">
        <v>2222</v>
      </c>
      <c r="C58" s="1960"/>
      <c r="D58" s="1960"/>
      <c r="E58" s="1960"/>
      <c r="F58" s="526"/>
      <c r="G58" s="526"/>
      <c r="H58" s="516"/>
      <c r="I58" s="516"/>
      <c r="J58" s="1961">
        <f>('Sources and Uses Budget'!D104+Q47)/('Sources and Uses Budget'!B104+Q48)</f>
        <v>0</v>
      </c>
      <c r="K58" s="1962"/>
      <c r="L58" s="1962"/>
      <c r="M58" s="1962"/>
      <c r="N58" s="1963"/>
      <c r="O58" s="516"/>
      <c r="P58" s="516"/>
      <c r="U58" s="952" t="s">
        <v>1798</v>
      </c>
      <c r="AC58" s="953">
        <v>0.1</v>
      </c>
    </row>
    <row r="59" spans="1:29" ht="15" customHeight="1">
      <c r="B59" s="1942" t="s">
        <v>2121</v>
      </c>
      <c r="C59" s="1942"/>
      <c r="D59" s="1942"/>
      <c r="E59" s="1942"/>
      <c r="F59" s="1942"/>
      <c r="G59" s="1942"/>
      <c r="H59" s="1942"/>
      <c r="I59" s="1942"/>
      <c r="J59" s="1942"/>
      <c r="K59" s="1942"/>
      <c r="L59" s="1942"/>
      <c r="M59" s="1942"/>
      <c r="N59" s="1942"/>
      <c r="O59" s="1942"/>
      <c r="P59" s="516"/>
      <c r="U59" s="952" t="s">
        <v>1799</v>
      </c>
      <c r="AC59" s="953">
        <v>0.05</v>
      </c>
    </row>
    <row r="60" spans="1:29" ht="15" customHeight="1">
      <c r="B60" s="1942"/>
      <c r="C60" s="1942"/>
      <c r="D60" s="1942"/>
      <c r="E60" s="1942"/>
      <c r="F60" s="1942"/>
      <c r="G60" s="1942"/>
      <c r="H60" s="1942"/>
      <c r="I60" s="1942"/>
      <c r="J60" s="1942"/>
      <c r="K60" s="1942"/>
      <c r="L60" s="1942"/>
      <c r="M60" s="1942"/>
      <c r="N60" s="1942"/>
      <c r="O60" s="1942"/>
      <c r="P60" s="516"/>
      <c r="AC60" s="954"/>
    </row>
    <row r="61" spans="1:29" ht="15" customHeight="1">
      <c r="B61" s="196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68"/>
      <c r="D61" s="1968"/>
      <c r="E61" s="1968"/>
      <c r="F61" s="1968"/>
      <c r="G61" s="1968"/>
      <c r="H61" s="1968"/>
      <c r="I61" s="1968"/>
      <c r="J61" s="1968"/>
      <c r="K61" s="1968"/>
      <c r="L61" s="1968"/>
      <c r="M61" s="1968"/>
      <c r="N61" s="1968"/>
      <c r="O61" s="196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74" t="s">
        <v>2225</v>
      </c>
      <c r="K63" s="1975"/>
      <c r="L63" s="1975"/>
      <c r="M63" s="1975"/>
      <c r="N63" s="1975"/>
      <c r="O63" s="1975"/>
      <c r="P63" s="1975"/>
      <c r="Q63" s="1975"/>
      <c r="R63" s="1975"/>
    </row>
    <row r="64" spans="1:29" ht="15" customHeight="1" thickBot="1">
      <c r="B64" s="1967" t="s">
        <v>1614</v>
      </c>
      <c r="C64" s="1967"/>
      <c r="D64" s="376"/>
      <c r="F64" s="376"/>
      <c r="G64" s="523" t="s">
        <v>1852</v>
      </c>
      <c r="H64" s="376"/>
      <c r="I64" s="758"/>
      <c r="J64" s="1976"/>
      <c r="K64" s="1977"/>
      <c r="L64" s="1977"/>
      <c r="M64" s="1977"/>
      <c r="N64" s="1977"/>
      <c r="O64" s="1977"/>
      <c r="P64" s="1977"/>
      <c r="Q64" s="1977"/>
      <c r="R64" s="197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76"/>
      <c r="K65" s="1977"/>
      <c r="L65" s="1977"/>
      <c r="M65" s="1977"/>
      <c r="N65" s="1977"/>
      <c r="O65" s="1977"/>
      <c r="P65" s="1977"/>
      <c r="Q65" s="1977"/>
      <c r="R65" s="1977"/>
      <c r="U65" s="951">
        <f>IF(J67="Non-rural project, Census Tract is Highest Resource (20 percentage points)",AC56,0)</f>
        <v>0</v>
      </c>
    </row>
    <row r="66" spans="1:22" ht="15" customHeight="1" thickBot="1">
      <c r="B66" s="528" t="s">
        <v>1683</v>
      </c>
      <c r="C66" s="638">
        <f>Application!AG430-Application!AG431</f>
        <v>64</v>
      </c>
      <c r="D66" s="788"/>
      <c r="E66" s="528" t="s">
        <v>1855</v>
      </c>
      <c r="F66" s="788"/>
      <c r="G66" s="655"/>
      <c r="H66" s="529"/>
      <c r="I66" s="759"/>
      <c r="J66" s="1976"/>
      <c r="K66" s="1977"/>
      <c r="L66" s="1977"/>
      <c r="M66" s="1977"/>
      <c r="N66" s="1977"/>
      <c r="O66" s="1977"/>
      <c r="P66" s="1977"/>
      <c r="Q66" s="1977"/>
      <c r="R66" s="1977"/>
      <c r="U66" s="951">
        <f>IF(J67="Non-rural project, Census Tract is High Resource (10 percentage points)",AC57,0)</f>
        <v>0</v>
      </c>
    </row>
    <row r="67" spans="1:22" ht="15" customHeight="1" thickBot="1">
      <c r="B67" s="528" t="s">
        <v>1603</v>
      </c>
      <c r="C67" s="639">
        <f>MIN(IF(AND(C65="Yes",G67&gt;=50),(0.75+(G67/200)),1),1.5)</f>
        <v>1.07</v>
      </c>
      <c r="D67" s="529"/>
      <c r="E67" s="528" t="s">
        <v>1684</v>
      </c>
      <c r="G67" s="638">
        <f>C66+G66</f>
        <v>64</v>
      </c>
      <c r="H67" s="529"/>
      <c r="I67" s="759"/>
      <c r="J67" s="1973" t="s">
        <v>1798</v>
      </c>
      <c r="K67" s="1970"/>
      <c r="L67" s="1970"/>
      <c r="M67" s="1970"/>
      <c r="N67" s="1970"/>
      <c r="O67" s="1970"/>
      <c r="P67" s="1970"/>
      <c r="Q67" s="1970"/>
      <c r="R67" s="1970"/>
      <c r="U67" s="951">
        <f>IF(J67="Rural project, Census Tract is Highest Resource (10 percentage points)",AC58,0)</f>
        <v>0.1</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56">
        <f>SUM(U62:U68)</f>
        <v>0.1</v>
      </c>
    </row>
    <row r="70" spans="1:22" ht="15" customHeight="1" thickBot="1">
      <c r="B70" s="508" t="s">
        <v>1611</v>
      </c>
      <c r="C70" s="508"/>
      <c r="D70" s="508"/>
      <c r="E70" s="508"/>
      <c r="F70" s="508"/>
      <c r="G70" s="508"/>
      <c r="U70" s="1957"/>
      <c r="V70" s="373" t="s">
        <v>1800</v>
      </c>
    </row>
    <row r="71" spans="1:22" ht="15" customHeight="1">
      <c r="B71" s="1964" t="s">
        <v>1615</v>
      </c>
      <c r="C71" s="1964"/>
      <c r="D71" s="1964"/>
      <c r="E71" s="508"/>
      <c r="F71" s="508"/>
      <c r="G71" s="518">
        <f>G53*(1-J58)</f>
        <v>10966870</v>
      </c>
      <c r="J71" s="530"/>
      <c r="K71" s="687" t="s">
        <v>1617</v>
      </c>
      <c r="L71" s="687"/>
      <c r="M71" s="687"/>
      <c r="N71" s="687"/>
      <c r="O71" s="687"/>
      <c r="Q71" s="1946">
        <f>'Basis &amp; Credits'!T23+'Basis &amp; Credits'!Y23+'Basis &amp; Credits'!AD23+'Basis &amp; Credits'!AI23</f>
        <v>14642578</v>
      </c>
      <c r="R71" s="1946"/>
    </row>
    <row r="72" spans="1:22" ht="15" customHeight="1">
      <c r="B72" s="1978" t="s">
        <v>1616</v>
      </c>
      <c r="C72" s="1978"/>
      <c r="D72" s="1978"/>
      <c r="E72" s="508"/>
      <c r="F72" s="508"/>
      <c r="G72" s="518">
        <f>G71*C67</f>
        <v>11734550.9</v>
      </c>
      <c r="J72" s="530"/>
      <c r="K72" s="650"/>
      <c r="L72" s="650"/>
      <c r="M72" s="650"/>
      <c r="N72" s="650"/>
      <c r="O72" s="650"/>
      <c r="Q72" s="1972"/>
      <c r="R72" s="197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79">
        <f>$G$72</f>
        <v>11734550.9</v>
      </c>
      <c r="C75" s="1980"/>
      <c r="D75" s="1980"/>
      <c r="E75" s="1980"/>
      <c r="F75" s="1980"/>
      <c r="G75" s="1980"/>
      <c r="H75" s="531"/>
      <c r="I75" s="1952" t="s">
        <v>139</v>
      </c>
      <c r="J75" s="1953" t="s">
        <v>992</v>
      </c>
      <c r="K75" s="1952">
        <v>1</v>
      </c>
      <c r="M75" s="395"/>
      <c r="N75" s="510"/>
      <c r="O75" s="657">
        <f>$Q$71</f>
        <v>14642578</v>
      </c>
      <c r="P75" s="1953" t="s">
        <v>1940</v>
      </c>
      <c r="Q75" s="1981" t="s">
        <v>138</v>
      </c>
      <c r="R75" s="1984">
        <f>((B75/B76)+((1-(O75/O76))/2))+U69</f>
        <v>0.73806429021850495</v>
      </c>
    </row>
    <row r="76" spans="1:22" ht="15" customHeight="1" thickBot="1">
      <c r="B76" s="1982">
        <f>'Sources and Uses Budget'!$C$104+$Q$46-($E$50+$E$51)*(1-$J$58)</f>
        <v>31965267</v>
      </c>
      <c r="C76" s="1983"/>
      <c r="D76" s="1983"/>
      <c r="E76" s="1983"/>
      <c r="F76" s="1983"/>
      <c r="G76" s="1982"/>
      <c r="I76" s="1952"/>
      <c r="J76" s="1953"/>
      <c r="K76" s="1952"/>
      <c r="M76" s="648"/>
      <c r="O76" s="656">
        <f>B76</f>
        <v>31965267</v>
      </c>
      <c r="P76" s="1953"/>
      <c r="Q76" s="1981"/>
      <c r="R76" s="198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43"/>
      <c r="R84" s="1943"/>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43"/>
      <c r="R89" s="1943"/>
    </row>
    <row r="90" spans="2:18" ht="15" customHeight="1">
      <c r="B90" s="497" t="s">
        <v>615</v>
      </c>
      <c r="C90" s="498"/>
      <c r="D90" s="499"/>
      <c r="E90" s="499"/>
      <c r="F90" s="540"/>
      <c r="G90" s="384">
        <f>MAX(($E90-$D90)*$C90*12,0)</f>
        <v>0</v>
      </c>
      <c r="I90" s="519"/>
      <c r="K90" s="756" t="s">
        <v>1626</v>
      </c>
      <c r="L90" s="684"/>
      <c r="M90" s="684"/>
      <c r="N90" s="684"/>
      <c r="O90" s="684"/>
      <c r="P90" s="684"/>
      <c r="Q90" s="1986"/>
      <c r="R90" s="1986"/>
    </row>
    <row r="91" spans="2:18" ht="15" customHeight="1">
      <c r="B91" s="497" t="s">
        <v>615</v>
      </c>
      <c r="C91" s="498"/>
      <c r="D91" s="499"/>
      <c r="E91" s="499"/>
      <c r="F91" s="540"/>
      <c r="G91" s="384">
        <f t="shared" ref="G91:G97" si="0">MAX(($E91-$D91)*$C91*12,0)</f>
        <v>0</v>
      </c>
      <c r="I91" s="519"/>
      <c r="K91" s="756" t="s">
        <v>1629</v>
      </c>
      <c r="L91" s="684"/>
      <c r="M91" s="684"/>
      <c r="N91" s="684"/>
      <c r="O91" s="684"/>
      <c r="P91" s="684"/>
      <c r="Q91" s="1947">
        <f>IFERROR(Q89/Q90,0)</f>
        <v>0</v>
      </c>
      <c r="R91" s="194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46">
        <f>MAX(Q84,Q91)</f>
        <v>0</v>
      </c>
      <c r="R93" s="194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C24" workbookViewId="0">
      <selection activeCell="O59" sqref="O59"/>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755148</v>
      </c>
      <c r="F4" s="384"/>
      <c r="G4" s="384">
        <f>E4*$C$4</f>
        <v>774026.7</v>
      </c>
      <c r="H4" s="384"/>
      <c r="I4" s="384">
        <f>G4*$C$4</f>
        <v>793377.36749999993</v>
      </c>
      <c r="J4" s="384"/>
      <c r="K4" s="384">
        <f>I4*$C$4</f>
        <v>813211.80168749986</v>
      </c>
      <c r="L4" s="384"/>
      <c r="M4" s="384">
        <f>K4*$C$4</f>
        <v>833542.0967296873</v>
      </c>
      <c r="N4" s="384"/>
      <c r="O4" s="384">
        <f>M4*$C$4</f>
        <v>854380.64914792939</v>
      </c>
      <c r="P4" s="384"/>
      <c r="Q4" s="384">
        <f>O4*$C$4</f>
        <v>875740.16537662758</v>
      </c>
      <c r="R4" s="384"/>
      <c r="S4" s="384">
        <f>Q4*$C$4</f>
        <v>897633.66951104323</v>
      </c>
      <c r="T4" s="384"/>
      <c r="U4" s="384">
        <f>S4*$C$4</f>
        <v>920074.51124881918</v>
      </c>
      <c r="V4" s="384"/>
      <c r="W4" s="384">
        <f>U4*$C$4</f>
        <v>943076.37403003953</v>
      </c>
      <c r="X4" s="384"/>
      <c r="Y4" s="384">
        <f>W4*$C$4</f>
        <v>966653.28338079038</v>
      </c>
      <c r="Z4" s="384"/>
      <c r="AA4" s="384">
        <f>Y4*$C$4</f>
        <v>990819.61546531005</v>
      </c>
      <c r="AB4" s="384"/>
      <c r="AC4" s="384">
        <f>AA4*$C$4</f>
        <v>1015590.1058519427</v>
      </c>
      <c r="AD4" s="384"/>
      <c r="AE4" s="384">
        <f>AC4*$C$4</f>
        <v>1040979.8584982412</v>
      </c>
      <c r="AF4" s="384"/>
      <c r="AG4" s="384">
        <f>AE4*$C$4</f>
        <v>1067004.354960697</v>
      </c>
      <c r="AH4" s="384"/>
    </row>
    <row r="5" spans="1:34" ht="13.8">
      <c r="A5" s="376"/>
      <c r="B5" s="376" t="s">
        <v>988</v>
      </c>
      <c r="C5" s="408">
        <f>IF(Application!$D$214="Special Needs",0.1,0.05)</f>
        <v>0.05</v>
      </c>
      <c r="D5" s="376"/>
      <c r="E5" s="386">
        <f>-E4*$C$5</f>
        <v>-37757.4</v>
      </c>
      <c r="F5" s="386"/>
      <c r="G5" s="386">
        <f>-G4*$C$5</f>
        <v>-38701.334999999999</v>
      </c>
      <c r="H5" s="386"/>
      <c r="I5" s="386">
        <f>-I4*$C$5</f>
        <v>-39668.868374999998</v>
      </c>
      <c r="J5" s="386"/>
      <c r="K5" s="386">
        <f>-K4*$C$5</f>
        <v>-40660.590084374999</v>
      </c>
      <c r="L5" s="386"/>
      <c r="M5" s="386">
        <f>-M4*$C$5</f>
        <v>-41677.104836484366</v>
      </c>
      <c r="N5" s="386"/>
      <c r="O5" s="386">
        <f>-O4*$C$5</f>
        <v>-42719.032457396475</v>
      </c>
      <c r="P5" s="386"/>
      <c r="Q5" s="386">
        <f>-Q4*$C$5</f>
        <v>-43787.008268831385</v>
      </c>
      <c r="R5" s="386"/>
      <c r="S5" s="386">
        <f>-S4*$C$5</f>
        <v>-44881.683475552163</v>
      </c>
      <c r="T5" s="386"/>
      <c r="U5" s="386">
        <f>-U4*$C$5</f>
        <v>-46003.725562440959</v>
      </c>
      <c r="V5" s="386"/>
      <c r="W5" s="386">
        <f>-W4*$C$5</f>
        <v>-47153.818701501979</v>
      </c>
      <c r="X5" s="386"/>
      <c r="Y5" s="386">
        <f>-Y4*$C$5</f>
        <v>-48332.664169039519</v>
      </c>
      <c r="Z5" s="386"/>
      <c r="AA5" s="386">
        <f>-AA4*$C$5</f>
        <v>-49540.980773265503</v>
      </c>
      <c r="AB5" s="386"/>
      <c r="AC5" s="386">
        <f>-AC4*$C$5</f>
        <v>-50779.505292597139</v>
      </c>
      <c r="AD5" s="386"/>
      <c r="AE5" s="386">
        <f>-AE4*$C$5</f>
        <v>-52048.992924912061</v>
      </c>
      <c r="AF5" s="386"/>
      <c r="AG5" s="386">
        <f>-AG4*$C$5</f>
        <v>-53350.217748034855</v>
      </c>
      <c r="AH5" s="376"/>
    </row>
    <row r="6" spans="1:34" ht="13.8">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15360</v>
      </c>
      <c r="F8" s="387"/>
      <c r="G8" s="387">
        <f>E8*$C$8</f>
        <v>15743.999999999998</v>
      </c>
      <c r="H8" s="387"/>
      <c r="I8" s="387">
        <f>G8*$C$8</f>
        <v>16137.599999999997</v>
      </c>
      <c r="J8" s="387"/>
      <c r="K8" s="387">
        <f>I8*$C$8</f>
        <v>16541.039999999994</v>
      </c>
      <c r="L8" s="387"/>
      <c r="M8" s="387">
        <f>K8*$C$8</f>
        <v>16954.565999999992</v>
      </c>
      <c r="N8" s="387"/>
      <c r="O8" s="387">
        <f>M8*$C$8</f>
        <v>17378.430149999989</v>
      </c>
      <c r="P8" s="387"/>
      <c r="Q8" s="387">
        <f>O8*$C$8</f>
        <v>17812.890903749987</v>
      </c>
      <c r="R8" s="387"/>
      <c r="S8" s="387">
        <f>Q8*$C$8</f>
        <v>18258.213176343736</v>
      </c>
      <c r="T8" s="387"/>
      <c r="U8" s="387">
        <f>S8*$C$8</f>
        <v>18714.668505752328</v>
      </c>
      <c r="V8" s="387"/>
      <c r="W8" s="387">
        <f>U8*$C$8</f>
        <v>19182.535218396133</v>
      </c>
      <c r="X8" s="387"/>
      <c r="Y8" s="387">
        <f>W8*$C$8</f>
        <v>19662.098598856035</v>
      </c>
      <c r="Z8" s="387"/>
      <c r="AA8" s="387">
        <f>Y8*$C$8</f>
        <v>20153.651063827434</v>
      </c>
      <c r="AB8" s="387"/>
      <c r="AC8" s="387">
        <f>AA8*$C$8</f>
        <v>20657.492340423119</v>
      </c>
      <c r="AD8" s="387"/>
      <c r="AE8" s="387">
        <f>AC8*$C$8</f>
        <v>21173.929648933696</v>
      </c>
      <c r="AF8" s="387"/>
      <c r="AG8" s="387">
        <f>AE8*$C$8</f>
        <v>21703.277890157035</v>
      </c>
      <c r="AH8" s="376"/>
    </row>
    <row r="9" spans="1:34" ht="13.8">
      <c r="A9" s="376"/>
      <c r="B9" s="376" t="s">
        <v>988</v>
      </c>
      <c r="C9" s="408">
        <f>IF(Application!$D$214="Special Needs",0.1,0.05)</f>
        <v>0.05</v>
      </c>
      <c r="D9" s="376"/>
      <c r="E9" s="386">
        <f>-E8*$C$9</f>
        <v>-768</v>
      </c>
      <c r="F9" s="386"/>
      <c r="G9" s="386">
        <f>-G8*$C$9</f>
        <v>-787.19999999999993</v>
      </c>
      <c r="H9" s="386"/>
      <c r="I9" s="386">
        <f>-I8*$C$9</f>
        <v>-806.87999999999988</v>
      </c>
      <c r="J9" s="386"/>
      <c r="K9" s="386">
        <f>-K8*$C$9</f>
        <v>-827.05199999999968</v>
      </c>
      <c r="L9" s="386"/>
      <c r="M9" s="386">
        <f>-M8*$C$9</f>
        <v>-847.72829999999965</v>
      </c>
      <c r="N9" s="386"/>
      <c r="O9" s="386">
        <f>-O8*$C$9</f>
        <v>-868.92150749999951</v>
      </c>
      <c r="P9" s="386"/>
      <c r="Q9" s="386">
        <f>-Q8*$C$9</f>
        <v>-890.64454518749938</v>
      </c>
      <c r="R9" s="386"/>
      <c r="S9" s="386">
        <f>-S8*$C$9</f>
        <v>-912.9106588171868</v>
      </c>
      <c r="T9" s="386"/>
      <c r="U9" s="386">
        <f>-U8*$C$9</f>
        <v>-935.73342528761646</v>
      </c>
      <c r="V9" s="386"/>
      <c r="W9" s="386">
        <f>-W8*$C$9</f>
        <v>-959.12676091980666</v>
      </c>
      <c r="X9" s="386"/>
      <c r="Y9" s="386">
        <f>-Y8*$C$9</f>
        <v>-983.10492994280185</v>
      </c>
      <c r="Z9" s="386"/>
      <c r="AA9" s="386">
        <f>-AA8*$C$9</f>
        <v>-1007.6825531913718</v>
      </c>
      <c r="AB9" s="386"/>
      <c r="AC9" s="386">
        <f>-AC8*$C$9</f>
        <v>-1032.8746170211559</v>
      </c>
      <c r="AD9" s="386"/>
      <c r="AE9" s="386">
        <f>-AE8*$C$9</f>
        <v>-1058.6964824466847</v>
      </c>
      <c r="AF9" s="386"/>
      <c r="AG9" s="386">
        <f>-AG8*$C$9</f>
        <v>-1085.1638945078519</v>
      </c>
      <c r="AH9" s="376"/>
    </row>
    <row r="10" spans="1:34" ht="13.8">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731982.6</v>
      </c>
      <c r="F11" s="388"/>
      <c r="G11" s="388">
        <f>SUM(G4:G10)</f>
        <v>750282.16500000004</v>
      </c>
      <c r="H11" s="388"/>
      <c r="I11" s="388">
        <f>SUM(I4:I10)</f>
        <v>769039.21912499995</v>
      </c>
      <c r="J11" s="388"/>
      <c r="K11" s="388">
        <f>SUM(K4:K10)</f>
        <v>788265.19960312487</v>
      </c>
      <c r="L11" s="388"/>
      <c r="M11" s="388">
        <f>SUM(M4:M10)</f>
        <v>807971.82959320291</v>
      </c>
      <c r="N11" s="388"/>
      <c r="O11" s="388">
        <f>SUM(O4:O10)</f>
        <v>828171.12533303292</v>
      </c>
      <c r="P11" s="388"/>
      <c r="Q11" s="388">
        <f>SUM(Q4:Q10)</f>
        <v>848875.40346635866</v>
      </c>
      <c r="R11" s="388"/>
      <c r="S11" s="388">
        <f>SUM(S4:S10)</f>
        <v>870097.28855301766</v>
      </c>
      <c r="T11" s="388"/>
      <c r="U11" s="388">
        <f>SUM(U4:U10)</f>
        <v>891849.72076684295</v>
      </c>
      <c r="V11" s="388"/>
      <c r="W11" s="388">
        <f>SUM(W4:W10)</f>
        <v>914145.96378601389</v>
      </c>
      <c r="X11" s="388"/>
      <c r="Y11" s="388">
        <f>SUM(Y4:Y10)</f>
        <v>936999.61288066406</v>
      </c>
      <c r="Z11" s="388"/>
      <c r="AA11" s="388">
        <f>SUM(AA4:AA10)</f>
        <v>960424.60320268071</v>
      </c>
      <c r="AB11" s="388"/>
      <c r="AC11" s="388">
        <f>SUM(AC4:AC10)</f>
        <v>984435.21828274755</v>
      </c>
      <c r="AD11" s="388"/>
      <c r="AE11" s="388">
        <f>SUM(AE4:AE10)</f>
        <v>1009046.0987398162</v>
      </c>
      <c r="AF11" s="388"/>
      <c r="AG11" s="388">
        <f>SUM(AG4:AG10)</f>
        <v>1034272.2512083114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17889</v>
      </c>
      <c r="F15" s="384"/>
      <c r="G15" s="384">
        <f t="shared" ref="G15:G21" si="0">E15*$C$14</f>
        <v>18515.114999999998</v>
      </c>
      <c r="H15" s="384"/>
      <c r="I15" s="384">
        <f t="shared" ref="I15:I21" si="1">G15*$C$14</f>
        <v>19163.144024999998</v>
      </c>
      <c r="J15" s="384"/>
      <c r="K15" s="384">
        <f t="shared" ref="K15:K21" si="2">I15*$C$14</f>
        <v>19833.854065874995</v>
      </c>
      <c r="L15" s="384"/>
      <c r="M15" s="384">
        <f t="shared" ref="M15:M21" si="3">K15*$C$14</f>
        <v>20528.038958180619</v>
      </c>
      <c r="N15" s="384"/>
      <c r="O15" s="384">
        <f t="shared" ref="O15:O21" si="4">M15*$C$14</f>
        <v>21246.52032171694</v>
      </c>
      <c r="P15" s="384"/>
      <c r="Q15" s="384">
        <f t="shared" ref="Q15:Q21" si="5">O15*$C$14</f>
        <v>21990.148532977033</v>
      </c>
      <c r="R15" s="384"/>
      <c r="S15" s="384">
        <f t="shared" ref="S15:S21" si="6">Q15*$C$14</f>
        <v>22759.803731631226</v>
      </c>
      <c r="T15" s="384"/>
      <c r="U15" s="384">
        <f t="shared" ref="U15:U21" si="7">S15*$C$14</f>
        <v>23556.396862238318</v>
      </c>
      <c r="V15" s="384"/>
      <c r="W15" s="384">
        <f t="shared" ref="W15:W21" si="8">U15*$C$14</f>
        <v>24380.870752416657</v>
      </c>
      <c r="X15" s="384"/>
      <c r="Y15" s="384">
        <f t="shared" ref="Y15:Y21" si="9">W15*$C$14</f>
        <v>25234.201228751237</v>
      </c>
      <c r="Z15" s="384"/>
      <c r="AA15" s="384">
        <f t="shared" ref="AA15:AA21" si="10">Y15*$C$14</f>
        <v>26117.398271757527</v>
      </c>
      <c r="AB15" s="384"/>
      <c r="AC15" s="384">
        <f t="shared" ref="AC15:AC21" si="11">AA15*$C$14</f>
        <v>27031.50721126904</v>
      </c>
      <c r="AD15" s="384"/>
      <c r="AE15" s="384">
        <f t="shared" ref="AE15:AE21" si="12">AC15*$C$14</f>
        <v>27977.609963663454</v>
      </c>
      <c r="AF15" s="384"/>
      <c r="AG15" s="384">
        <f t="shared" ref="AG15:AG21" si="13">AE15*$C$14</f>
        <v>28956.826312391673</v>
      </c>
      <c r="AH15" s="384"/>
    </row>
    <row r="16" spans="1:34" ht="13.8">
      <c r="A16" s="376" t="s">
        <v>468</v>
      </c>
      <c r="B16" s="376"/>
      <c r="C16" s="398"/>
      <c r="D16" s="376"/>
      <c r="E16" s="387">
        <f>Application!W828</f>
        <v>43919</v>
      </c>
      <c r="F16" s="387"/>
      <c r="G16" s="387">
        <f t="shared" si="0"/>
        <v>45456.164999999994</v>
      </c>
      <c r="H16" s="387"/>
      <c r="I16" s="387">
        <f t="shared" si="1"/>
        <v>47047.130774999991</v>
      </c>
      <c r="J16" s="387"/>
      <c r="K16" s="387">
        <f t="shared" si="2"/>
        <v>48693.780352124988</v>
      </c>
      <c r="L16" s="387"/>
      <c r="M16" s="387">
        <f t="shared" si="3"/>
        <v>50398.06266444936</v>
      </c>
      <c r="N16" s="387"/>
      <c r="O16" s="387">
        <f t="shared" si="4"/>
        <v>52161.994857705082</v>
      </c>
      <c r="P16" s="387"/>
      <c r="Q16" s="387">
        <f t="shared" si="5"/>
        <v>53987.664677724759</v>
      </c>
      <c r="R16" s="387"/>
      <c r="S16" s="387">
        <f t="shared" si="6"/>
        <v>55877.232941445123</v>
      </c>
      <c r="T16" s="387"/>
      <c r="U16" s="387">
        <f t="shared" si="7"/>
        <v>57832.9360943957</v>
      </c>
      <c r="V16" s="387"/>
      <c r="W16" s="387">
        <f t="shared" si="8"/>
        <v>59857.088857699542</v>
      </c>
      <c r="X16" s="387"/>
      <c r="Y16" s="387">
        <f t="shared" si="9"/>
        <v>61952.08696771902</v>
      </c>
      <c r="Z16" s="387"/>
      <c r="AA16" s="387">
        <f t="shared" si="10"/>
        <v>64120.410011589178</v>
      </c>
      <c r="AB16" s="387"/>
      <c r="AC16" s="387">
        <f t="shared" si="11"/>
        <v>66364.624361994793</v>
      </c>
      <c r="AD16" s="387"/>
      <c r="AE16" s="387">
        <f t="shared" si="12"/>
        <v>68687.386214664599</v>
      </c>
      <c r="AF16" s="387"/>
      <c r="AG16" s="387">
        <f t="shared" si="13"/>
        <v>71091.444732177857</v>
      </c>
      <c r="AH16" s="376"/>
    </row>
    <row r="17" spans="1:34" ht="13.8">
      <c r="A17" s="376" t="s">
        <v>734</v>
      </c>
      <c r="B17" s="376"/>
      <c r="C17" s="398"/>
      <c r="D17" s="376"/>
      <c r="E17" s="387">
        <f>Application!W834</f>
        <v>95995</v>
      </c>
      <c r="F17" s="387"/>
      <c r="G17" s="387">
        <f t="shared" si="0"/>
        <v>99354.824999999997</v>
      </c>
      <c r="H17" s="387"/>
      <c r="I17" s="387">
        <f t="shared" si="1"/>
        <v>102832.24387499999</v>
      </c>
      <c r="J17" s="387"/>
      <c r="K17" s="387">
        <f t="shared" si="2"/>
        <v>106431.37241062497</v>
      </c>
      <c r="L17" s="387"/>
      <c r="M17" s="387">
        <f t="shared" si="3"/>
        <v>110156.47044499684</v>
      </c>
      <c r="N17" s="387"/>
      <c r="O17" s="387">
        <f t="shared" si="4"/>
        <v>114011.94691057173</v>
      </c>
      <c r="P17" s="387"/>
      <c r="Q17" s="387">
        <f t="shared" si="5"/>
        <v>118002.36505244173</v>
      </c>
      <c r="R17" s="387"/>
      <c r="S17" s="387">
        <f t="shared" si="6"/>
        <v>122132.44782927718</v>
      </c>
      <c r="T17" s="387"/>
      <c r="U17" s="387">
        <f t="shared" si="7"/>
        <v>126407.08350330187</v>
      </c>
      <c r="V17" s="387"/>
      <c r="W17" s="387">
        <f t="shared" si="8"/>
        <v>130831.33142591742</v>
      </c>
      <c r="X17" s="387"/>
      <c r="Y17" s="387">
        <f t="shared" si="9"/>
        <v>135410.42802582451</v>
      </c>
      <c r="Z17" s="387"/>
      <c r="AA17" s="387">
        <f t="shared" si="10"/>
        <v>140149.79300672837</v>
      </c>
      <c r="AB17" s="387"/>
      <c r="AC17" s="387">
        <f t="shared" si="11"/>
        <v>145055.03576196387</v>
      </c>
      <c r="AD17" s="387"/>
      <c r="AE17" s="387">
        <f t="shared" si="12"/>
        <v>150131.96201363258</v>
      </c>
      <c r="AF17" s="387"/>
      <c r="AG17" s="387">
        <f t="shared" si="13"/>
        <v>155386.58068410971</v>
      </c>
      <c r="AH17" s="376"/>
    </row>
    <row r="18" spans="1:34" ht="13.8">
      <c r="A18" s="376" t="s">
        <v>1079</v>
      </c>
      <c r="B18" s="376"/>
      <c r="C18" s="398"/>
      <c r="D18" s="376"/>
      <c r="E18" s="387">
        <f>Application!W841</f>
        <v>44470</v>
      </c>
      <c r="F18" s="387"/>
      <c r="G18" s="387">
        <f t="shared" si="0"/>
        <v>46026.45</v>
      </c>
      <c r="H18" s="387"/>
      <c r="I18" s="387">
        <f t="shared" si="1"/>
        <v>47637.375749999992</v>
      </c>
      <c r="J18" s="387"/>
      <c r="K18" s="387">
        <f t="shared" si="2"/>
        <v>49304.683901249991</v>
      </c>
      <c r="L18" s="387"/>
      <c r="M18" s="387">
        <f t="shared" si="3"/>
        <v>51030.347837793735</v>
      </c>
      <c r="N18" s="387"/>
      <c r="O18" s="387">
        <f t="shared" si="4"/>
        <v>52816.41001211651</v>
      </c>
      <c r="P18" s="387"/>
      <c r="Q18" s="387">
        <f t="shared" si="5"/>
        <v>54664.984362540585</v>
      </c>
      <c r="R18" s="387"/>
      <c r="S18" s="387">
        <f t="shared" si="6"/>
        <v>56578.258815229499</v>
      </c>
      <c r="T18" s="387"/>
      <c r="U18" s="387">
        <f t="shared" si="7"/>
        <v>58558.497873762528</v>
      </c>
      <c r="V18" s="387"/>
      <c r="W18" s="387">
        <f t="shared" si="8"/>
        <v>60608.045299344209</v>
      </c>
      <c r="X18" s="387"/>
      <c r="Y18" s="387">
        <f t="shared" si="9"/>
        <v>62729.326884821254</v>
      </c>
      <c r="Z18" s="387"/>
      <c r="AA18" s="387">
        <f t="shared" si="10"/>
        <v>64924.853325789991</v>
      </c>
      <c r="AB18" s="387"/>
      <c r="AC18" s="387">
        <f t="shared" si="11"/>
        <v>67197.223192192629</v>
      </c>
      <c r="AD18" s="387"/>
      <c r="AE18" s="387">
        <f t="shared" si="12"/>
        <v>69549.126003919358</v>
      </c>
      <c r="AF18" s="387"/>
      <c r="AG18" s="387">
        <f t="shared" si="13"/>
        <v>71983.34541405653</v>
      </c>
    </row>
    <row r="19" spans="1:34" ht="13.8">
      <c r="A19" s="376" t="s">
        <v>931</v>
      </c>
      <c r="B19" s="376"/>
      <c r="C19" s="398"/>
      <c r="D19" s="376"/>
      <c r="E19" s="387">
        <f>Application!W842</f>
        <v>12920</v>
      </c>
      <c r="F19" s="387"/>
      <c r="G19" s="387">
        <f t="shared" si="0"/>
        <v>13372.199999999999</v>
      </c>
      <c r="H19" s="387"/>
      <c r="I19" s="387">
        <f t="shared" si="1"/>
        <v>13840.226999999997</v>
      </c>
      <c r="J19" s="387"/>
      <c r="K19" s="387">
        <f t="shared" si="2"/>
        <v>14324.634944999996</v>
      </c>
      <c r="L19" s="387"/>
      <c r="M19" s="387">
        <f t="shared" si="3"/>
        <v>14825.997168074995</v>
      </c>
      <c r="N19" s="387"/>
      <c r="O19" s="387">
        <f t="shared" si="4"/>
        <v>15344.907068957618</v>
      </c>
      <c r="P19" s="387"/>
      <c r="Q19" s="387">
        <f t="shared" si="5"/>
        <v>15881.978816371135</v>
      </c>
      <c r="R19" s="387"/>
      <c r="S19" s="387">
        <f t="shared" si="6"/>
        <v>16437.848074944122</v>
      </c>
      <c r="T19" s="387"/>
      <c r="U19" s="387">
        <f t="shared" si="7"/>
        <v>17013.172757567165</v>
      </c>
      <c r="V19" s="387"/>
      <c r="W19" s="387">
        <f t="shared" si="8"/>
        <v>17608.633804082016</v>
      </c>
      <c r="X19" s="387"/>
      <c r="Y19" s="387">
        <f t="shared" si="9"/>
        <v>18224.935987224886</v>
      </c>
      <c r="Z19" s="387"/>
      <c r="AA19" s="387">
        <f t="shared" si="10"/>
        <v>18862.808746777755</v>
      </c>
      <c r="AB19" s="387"/>
      <c r="AC19" s="387">
        <f t="shared" si="11"/>
        <v>19523.007052914974</v>
      </c>
      <c r="AD19" s="387"/>
      <c r="AE19" s="387">
        <f t="shared" si="12"/>
        <v>20206.312299766996</v>
      </c>
      <c r="AF19" s="387"/>
      <c r="AG19" s="387">
        <f t="shared" si="13"/>
        <v>20913.533230258839</v>
      </c>
    </row>
    <row r="20" spans="1:34" ht="13.8">
      <c r="A20" s="376" t="s">
        <v>55</v>
      </c>
      <c r="B20" s="376"/>
      <c r="C20" s="398"/>
      <c r="D20" s="376"/>
      <c r="E20" s="387">
        <f>Application!W851</f>
        <v>98407</v>
      </c>
      <c r="F20" s="387"/>
      <c r="G20" s="387">
        <f t="shared" si="0"/>
        <v>101851.245</v>
      </c>
      <c r="H20" s="387"/>
      <c r="I20" s="387">
        <f t="shared" si="1"/>
        <v>105416.03857499998</v>
      </c>
      <c r="J20" s="387"/>
      <c r="K20" s="387">
        <f t="shared" si="2"/>
        <v>109105.59992512497</v>
      </c>
      <c r="L20" s="387"/>
      <c r="M20" s="387">
        <f t="shared" si="3"/>
        <v>112924.29592250435</v>
      </c>
      <c r="N20" s="387"/>
      <c r="O20" s="387">
        <f t="shared" si="4"/>
        <v>116876.64627979198</v>
      </c>
      <c r="P20" s="387"/>
      <c r="Q20" s="387">
        <f t="shared" si="5"/>
        <v>120967.3288995847</v>
      </c>
      <c r="R20" s="387"/>
      <c r="S20" s="387">
        <f t="shared" si="6"/>
        <v>125201.18541107015</v>
      </c>
      <c r="T20" s="387"/>
      <c r="U20" s="387">
        <f t="shared" si="7"/>
        <v>129583.22690045759</v>
      </c>
      <c r="V20" s="387"/>
      <c r="W20" s="387">
        <f t="shared" si="8"/>
        <v>134118.63984197361</v>
      </c>
      <c r="X20" s="387"/>
      <c r="Y20" s="387">
        <f t="shared" si="9"/>
        <v>138812.79223644268</v>
      </c>
      <c r="Z20" s="387"/>
      <c r="AA20" s="387">
        <f t="shared" si="10"/>
        <v>143671.23996471817</v>
      </c>
      <c r="AB20" s="387"/>
      <c r="AC20" s="387">
        <f t="shared" si="11"/>
        <v>148699.7333634833</v>
      </c>
      <c r="AD20" s="387"/>
      <c r="AE20" s="387">
        <f t="shared" si="12"/>
        <v>153904.2240312052</v>
      </c>
      <c r="AF20" s="387"/>
      <c r="AG20" s="387">
        <f t="shared" si="13"/>
        <v>159290.87187229737</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313600</v>
      </c>
      <c r="F22" s="388"/>
      <c r="G22" s="388">
        <f>SUM(G15:G21)</f>
        <v>324576</v>
      </c>
      <c r="H22" s="388"/>
      <c r="I22" s="388">
        <f>SUM(I15:I21)</f>
        <v>335936.15999999992</v>
      </c>
      <c r="J22" s="388"/>
      <c r="K22" s="388">
        <f>SUM(K15:K21)</f>
        <v>347693.9255999999</v>
      </c>
      <c r="L22" s="388"/>
      <c r="M22" s="388">
        <f>SUM(M15:M21)</f>
        <v>359863.2129959999</v>
      </c>
      <c r="N22" s="388"/>
      <c r="O22" s="388">
        <f>SUM(O15:O21)</f>
        <v>372458.42545085982</v>
      </c>
      <c r="P22" s="388"/>
      <c r="Q22" s="388">
        <f>SUM(Q15:Q21)</f>
        <v>385494.47034163994</v>
      </c>
      <c r="R22" s="388"/>
      <c r="S22" s="388">
        <f>SUM(S15:S21)</f>
        <v>398986.77680359734</v>
      </c>
      <c r="T22" s="388"/>
      <c r="U22" s="388">
        <f>SUM(U15:U21)</f>
        <v>412951.31399172312</v>
      </c>
      <c r="V22" s="388"/>
      <c r="W22" s="388">
        <f>SUM(W15:W21)</f>
        <v>427404.60998143343</v>
      </c>
      <c r="X22" s="388"/>
      <c r="Y22" s="388">
        <f>SUM(Y15:Y21)</f>
        <v>442363.77133078355</v>
      </c>
      <c r="Z22" s="388"/>
      <c r="AA22" s="388">
        <f>SUM(AA15:AA21)</f>
        <v>457846.50332736102</v>
      </c>
      <c r="AB22" s="388"/>
      <c r="AC22" s="388">
        <f>SUM(AC15:AC21)</f>
        <v>473871.1309438186</v>
      </c>
      <c r="AD22" s="388"/>
      <c r="AE22" s="388">
        <f>SUM(AE15:AE21)</f>
        <v>490456.6205268522</v>
      </c>
      <c r="AF22" s="388"/>
      <c r="AG22" s="388">
        <f>SUM(AG15:AG21)</f>
        <v>507622.60224529199</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25000</v>
      </c>
      <c r="F27" s="387"/>
      <c r="G27" s="387">
        <f>E27*$C$27</f>
        <v>25874.999999999996</v>
      </c>
      <c r="H27" s="387"/>
      <c r="I27" s="387">
        <f>G27*$C$27</f>
        <v>26780.624999999993</v>
      </c>
      <c r="J27" s="387"/>
      <c r="K27" s="387">
        <f>I27*$C$27</f>
        <v>27717.946874999991</v>
      </c>
      <c r="L27" s="387"/>
      <c r="M27" s="387">
        <f>K27*$C$27</f>
        <v>28688.075015624989</v>
      </c>
      <c r="N27" s="387"/>
      <c r="O27" s="387">
        <f>M27*$C$27</f>
        <v>29692.15764117186</v>
      </c>
      <c r="P27" s="387"/>
      <c r="Q27" s="387">
        <f>O27*$C$27</f>
        <v>30731.383158612873</v>
      </c>
      <c r="R27" s="387"/>
      <c r="S27" s="387">
        <f>Q27*$C$27</f>
        <v>31806.98156916432</v>
      </c>
      <c r="T27" s="387"/>
      <c r="U27" s="387">
        <f>S27*$C$27</f>
        <v>32920.225924085069</v>
      </c>
      <c r="V27" s="387"/>
      <c r="W27" s="387">
        <f>U27*$C$27</f>
        <v>34072.433831428047</v>
      </c>
      <c r="X27" s="387"/>
      <c r="Y27" s="387">
        <f>W27*$C$27</f>
        <v>35264.969015528026</v>
      </c>
      <c r="Z27" s="387"/>
      <c r="AA27" s="387">
        <f>Y27*$C$27</f>
        <v>36499.242931071502</v>
      </c>
      <c r="AB27" s="387"/>
      <c r="AC27" s="387">
        <f>AA27*$C$27</f>
        <v>37776.716433658999</v>
      </c>
      <c r="AD27" s="387"/>
      <c r="AE27" s="387">
        <f>AC27*$C$27</f>
        <v>39098.901508837058</v>
      </c>
      <c r="AF27" s="387"/>
      <c r="AG27" s="387">
        <f>AE27*$C$27</f>
        <v>40467.363061646349</v>
      </c>
    </row>
    <row r="28" spans="1:34" ht="13.8">
      <c r="A28" s="599" t="s">
        <v>1082</v>
      </c>
      <c r="B28" s="376"/>
      <c r="C28" s="407"/>
      <c r="D28" s="376"/>
      <c r="E28" s="387">
        <f>Application!AC868</f>
        <v>32000</v>
      </c>
      <c r="F28" s="387"/>
      <c r="G28" s="387">
        <f>$E$28</f>
        <v>32000</v>
      </c>
      <c r="H28" s="387"/>
      <c r="I28" s="387">
        <f>$E$28</f>
        <v>32000</v>
      </c>
      <c r="J28" s="387"/>
      <c r="K28" s="387">
        <f>$E$28</f>
        <v>32000</v>
      </c>
      <c r="L28" s="387"/>
      <c r="M28" s="387">
        <f>$E$28</f>
        <v>32000</v>
      </c>
      <c r="N28" s="387"/>
      <c r="O28" s="387">
        <f>$E$28</f>
        <v>32000</v>
      </c>
      <c r="P28" s="387"/>
      <c r="Q28" s="387">
        <f>$E$28</f>
        <v>32000</v>
      </c>
      <c r="R28" s="387"/>
      <c r="S28" s="387">
        <f>$E$28</f>
        <v>32000</v>
      </c>
      <c r="T28" s="387"/>
      <c r="U28" s="387">
        <f>$E$28</f>
        <v>32000</v>
      </c>
      <c r="V28" s="387"/>
      <c r="W28" s="387">
        <f>$E$28</f>
        <v>32000</v>
      </c>
      <c r="X28" s="387"/>
      <c r="Y28" s="387">
        <f>$E$28</f>
        <v>32000</v>
      </c>
      <c r="Z28" s="387"/>
      <c r="AA28" s="387">
        <f>$E$28</f>
        <v>32000</v>
      </c>
      <c r="AB28" s="387"/>
      <c r="AC28" s="387">
        <f>$E$28</f>
        <v>32000</v>
      </c>
      <c r="AD28" s="387"/>
      <c r="AE28" s="387">
        <f>$E$28</f>
        <v>32000</v>
      </c>
      <c r="AF28" s="387"/>
      <c r="AG28" s="387">
        <f>$E$28</f>
        <v>32000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370600</v>
      </c>
      <c r="F35" s="388"/>
      <c r="G35" s="388">
        <f>SUM(G22:G33)</f>
        <v>382451</v>
      </c>
      <c r="H35" s="388"/>
      <c r="I35" s="388">
        <f>SUM(I22:I33)</f>
        <v>394716.78499999992</v>
      </c>
      <c r="J35" s="388"/>
      <c r="K35" s="388">
        <f>SUM(K22:K33)</f>
        <v>407411.87247499987</v>
      </c>
      <c r="L35" s="388"/>
      <c r="M35" s="388">
        <f>SUM(M22:M33)</f>
        <v>420551.28801162489</v>
      </c>
      <c r="N35" s="388"/>
      <c r="O35" s="388">
        <f>SUM(O22:O33)</f>
        <v>434150.58309203171</v>
      </c>
      <c r="P35" s="388"/>
      <c r="Q35" s="388">
        <f>SUM(Q22:Q33)</f>
        <v>448225.85350025282</v>
      </c>
      <c r="R35" s="388"/>
      <c r="S35" s="388">
        <f>SUM(S22:S33)</f>
        <v>462793.75837276166</v>
      </c>
      <c r="T35" s="388"/>
      <c r="U35" s="388">
        <f>SUM(U22:U33)</f>
        <v>477871.53991580819</v>
      </c>
      <c r="V35" s="388"/>
      <c r="W35" s="388">
        <f>SUM(W22:W33)</f>
        <v>493477.04381286149</v>
      </c>
      <c r="X35" s="388"/>
      <c r="Y35" s="388">
        <f>SUM(Y22:Y33)</f>
        <v>509628.74034631159</v>
      </c>
      <c r="Z35" s="388"/>
      <c r="AA35" s="388">
        <f>SUM(AA22:AA33)</f>
        <v>526345.74625843251</v>
      </c>
      <c r="AB35" s="388"/>
      <c r="AC35" s="388">
        <f>SUM(AC22:AC33)</f>
        <v>543647.84737747768</v>
      </c>
      <c r="AD35" s="388"/>
      <c r="AE35" s="388">
        <f>SUM(AE22:AE33)</f>
        <v>561555.52203568921</v>
      </c>
      <c r="AF35" s="388"/>
      <c r="AG35" s="388">
        <f>SUM(AG22:AG33)</f>
        <v>580089.96530693839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361382.6</v>
      </c>
      <c r="F37" s="388"/>
      <c r="G37" s="388">
        <f>G11-G35</f>
        <v>367831.16500000004</v>
      </c>
      <c r="H37" s="388"/>
      <c r="I37" s="388">
        <f>I11-I35</f>
        <v>374322.43412500003</v>
      </c>
      <c r="J37" s="388"/>
      <c r="K37" s="388">
        <f>K11-K35</f>
        <v>380853.32712812501</v>
      </c>
      <c r="L37" s="388"/>
      <c r="M37" s="388">
        <f>M11-M35</f>
        <v>387420.54158157803</v>
      </c>
      <c r="N37" s="388"/>
      <c r="O37" s="388">
        <f>O11-O35</f>
        <v>394020.54224100121</v>
      </c>
      <c r="P37" s="388"/>
      <c r="Q37" s="388">
        <f>Q11-Q35</f>
        <v>400649.54996610584</v>
      </c>
      <c r="R37" s="388"/>
      <c r="S37" s="388">
        <f>S11-S35</f>
        <v>407303.530180256</v>
      </c>
      <c r="T37" s="388"/>
      <c r="U37" s="388">
        <f>U11-U35</f>
        <v>413978.18085103476</v>
      </c>
      <c r="V37" s="388"/>
      <c r="W37" s="388">
        <f>W11-W35</f>
        <v>420668.9199731524</v>
      </c>
      <c r="X37" s="388"/>
      <c r="Y37" s="388">
        <f>Y11-Y35</f>
        <v>427370.87253435247</v>
      </c>
      <c r="Z37" s="388"/>
      <c r="AA37" s="388">
        <f>AA11-AA35</f>
        <v>434078.8569442482</v>
      </c>
      <c r="AB37" s="388"/>
      <c r="AC37" s="388">
        <f>AC11-AC35</f>
        <v>440787.37090526987</v>
      </c>
      <c r="AD37" s="388"/>
      <c r="AE37" s="388">
        <f>AE11-AE35</f>
        <v>447490.57670412702</v>
      </c>
      <c r="AF37" s="388"/>
      <c r="AG37" s="388">
        <f>AG11-AG35</f>
        <v>454182.28590137302</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 Bank Perm Loan</v>
      </c>
      <c r="B40" s="391"/>
      <c r="C40" s="385"/>
      <c r="D40" s="376"/>
      <c r="E40" s="384">
        <f>Application!AF621</f>
        <v>314246</v>
      </c>
      <c r="F40" s="384"/>
      <c r="G40" s="384">
        <f>$E$40</f>
        <v>314246</v>
      </c>
      <c r="H40" s="384"/>
      <c r="I40" s="384">
        <f>$E$40</f>
        <v>314246</v>
      </c>
      <c r="J40" s="384"/>
      <c r="K40" s="384">
        <f>$E$40</f>
        <v>314246</v>
      </c>
      <c r="L40" s="384"/>
      <c r="M40" s="384">
        <f>$E$40</f>
        <v>314246</v>
      </c>
      <c r="N40" s="384"/>
      <c r="O40" s="384">
        <f>$E$40</f>
        <v>314246</v>
      </c>
      <c r="P40" s="384"/>
      <c r="Q40" s="384">
        <f>$E$40</f>
        <v>314246</v>
      </c>
      <c r="R40" s="384"/>
      <c r="S40" s="384">
        <f>$E$40</f>
        <v>314246</v>
      </c>
      <c r="T40" s="384"/>
      <c r="U40" s="384">
        <f>$E$40</f>
        <v>314246</v>
      </c>
      <c r="V40" s="384"/>
      <c r="W40" s="384">
        <f>$E$40</f>
        <v>314246</v>
      </c>
      <c r="X40" s="384"/>
      <c r="Y40" s="384">
        <f>$E$40</f>
        <v>314246</v>
      </c>
      <c r="Z40" s="384"/>
      <c r="AA40" s="384">
        <f>$E$40</f>
        <v>314246</v>
      </c>
      <c r="AB40" s="384"/>
      <c r="AC40" s="384">
        <f>$E$40</f>
        <v>314246</v>
      </c>
      <c r="AD40" s="384"/>
      <c r="AE40" s="384">
        <f>$E$40</f>
        <v>314246</v>
      </c>
      <c r="AF40" s="384"/>
      <c r="AG40" s="384">
        <f>$E$40</f>
        <v>314246</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314246</v>
      </c>
      <c r="F43" s="388"/>
      <c r="G43" s="388">
        <f>SUM(G40:G42)</f>
        <v>314246</v>
      </c>
      <c r="H43" s="388"/>
      <c r="I43" s="388">
        <f>SUM(I40:I42)</f>
        <v>314246</v>
      </c>
      <c r="J43" s="388"/>
      <c r="K43" s="388">
        <f>SUM(K40:K42)</f>
        <v>314246</v>
      </c>
      <c r="L43" s="388"/>
      <c r="M43" s="388">
        <f>SUM(M40:M42)</f>
        <v>314246</v>
      </c>
      <c r="N43" s="388"/>
      <c r="O43" s="388">
        <f>SUM(O40:O42)</f>
        <v>314246</v>
      </c>
      <c r="P43" s="388"/>
      <c r="Q43" s="388">
        <f>SUM(Q40:Q42)</f>
        <v>314246</v>
      </c>
      <c r="R43" s="388"/>
      <c r="S43" s="388">
        <f>SUM(S40:S42)</f>
        <v>314246</v>
      </c>
      <c r="T43" s="388"/>
      <c r="U43" s="388">
        <f>SUM(U40:U42)</f>
        <v>314246</v>
      </c>
      <c r="V43" s="388"/>
      <c r="W43" s="388">
        <f>SUM(W40:W42)</f>
        <v>314246</v>
      </c>
      <c r="X43" s="388"/>
      <c r="Y43" s="388">
        <f>SUM(Y40:Y42)</f>
        <v>314246</v>
      </c>
      <c r="Z43" s="388"/>
      <c r="AA43" s="388">
        <f>SUM(AA40:AA42)</f>
        <v>314246</v>
      </c>
      <c r="AB43" s="388"/>
      <c r="AC43" s="388">
        <f>SUM(AC40:AC42)</f>
        <v>314246</v>
      </c>
      <c r="AD43" s="388"/>
      <c r="AE43" s="388">
        <f>SUM(AE40:AE42)</f>
        <v>314246</v>
      </c>
      <c r="AF43" s="388"/>
      <c r="AG43" s="388">
        <f>SUM(AG40:AG42)</f>
        <v>314246</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47136.599999999977</v>
      </c>
      <c r="F45" s="388"/>
      <c r="G45" s="388">
        <f>G37-G43</f>
        <v>53585.165000000037</v>
      </c>
      <c r="H45" s="388"/>
      <c r="I45" s="388">
        <f>I37-I43</f>
        <v>60076.434125000029</v>
      </c>
      <c r="J45" s="388"/>
      <c r="K45" s="388">
        <f>K37-K43</f>
        <v>66607.327128125005</v>
      </c>
      <c r="L45" s="388"/>
      <c r="M45" s="388">
        <f>M37-M43</f>
        <v>73174.541581578029</v>
      </c>
      <c r="N45" s="388"/>
      <c r="O45" s="388">
        <f>O37-O43</f>
        <v>79774.542241001211</v>
      </c>
      <c r="P45" s="388"/>
      <c r="Q45" s="388">
        <f>Q37-Q43</f>
        <v>86403.549966105842</v>
      </c>
      <c r="R45" s="388"/>
      <c r="S45" s="388">
        <f>S37-S43</f>
        <v>93057.530180255999</v>
      </c>
      <c r="T45" s="388"/>
      <c r="U45" s="388">
        <f>U37-U43</f>
        <v>99732.180851034762</v>
      </c>
      <c r="V45" s="388"/>
      <c r="W45" s="388">
        <f>W37-W43</f>
        <v>106422.9199731524</v>
      </c>
      <c r="X45" s="388"/>
      <c r="Y45" s="388">
        <f>Y37-Y43</f>
        <v>113124.87253435247</v>
      </c>
      <c r="Z45" s="388"/>
      <c r="AA45" s="388">
        <f>AA37-AA43</f>
        <v>119832.8569442482</v>
      </c>
      <c r="AB45" s="388"/>
      <c r="AC45" s="388">
        <f>AC37-AC43</f>
        <v>126541.37090526987</v>
      </c>
      <c r="AD45" s="388"/>
      <c r="AE45" s="388">
        <f>AE37-AE43</f>
        <v>133244.57670412702</v>
      </c>
      <c r="AF45" s="388"/>
      <c r="AG45" s="388">
        <f>AG37-AG43</f>
        <v>139936.28590137302</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6.117600336401436E-2</v>
      </c>
      <c r="F47" s="392"/>
      <c r="G47" s="392">
        <f>G45/(G4+G6+G8)</f>
        <v>6.7849016176467478E-2</v>
      </c>
      <c r="H47" s="392"/>
      <c r="I47" s="392">
        <f>I45/(I4+I6+I8)</f>
        <v>7.4212876273964681E-2</v>
      </c>
      <c r="J47" s="392"/>
      <c r="K47" s="392">
        <f>K45/(K4+K6+K8)</f>
        <v>8.0273695709993778E-2</v>
      </c>
      <c r="L47" s="392"/>
      <c r="M47" s="392">
        <f>M45/(M4+M6+M8)</f>
        <v>8.6037423529356089E-2</v>
      </c>
      <c r="N47" s="392"/>
      <c r="O47" s="392">
        <f>O45/(O4+O6+O8)</f>
        <v>9.1509849608044896E-2</v>
      </c>
      <c r="P47" s="392"/>
      <c r="Q47" s="392">
        <f>Q45/(Q4+Q6+Q8)</f>
        <v>9.6696608398141148E-2</v>
      </c>
      <c r="R47" s="392"/>
      <c r="S47" s="392">
        <f>S45/(S4+S6+S8)</f>
        <v>0.10160318258003219</v>
      </c>
      <c r="T47" s="392"/>
      <c r="U47" s="392">
        <f>U45/(U4+U6+U8)</f>
        <v>0.10623490662419845</v>
      </c>
      <c r="V47" s="392"/>
      <c r="W47" s="392">
        <f>W45/(W4+W6+W8)</f>
        <v>0.11059697026476288</v>
      </c>
      <c r="X47" s="392"/>
      <c r="Y47" s="392">
        <f>Y45/(Y4+Y6+Y8)</f>
        <v>0.11469442188694054</v>
      </c>
      <c r="Z47" s="392"/>
      <c r="AA47" s="392">
        <f>AA45/(AA4+AA6+AA8)</f>
        <v>0.11853217183047488</v>
      </c>
      <c r="AB47" s="392"/>
      <c r="AC47" s="392">
        <f>AC45/(AC4+AC6+AC8)</f>
        <v>0.12211499561109633</v>
      </c>
      <c r="AD47" s="392"/>
      <c r="AE47" s="392">
        <f>AE45/(AE4+AE6+AE8)</f>
        <v>0.12544753706199116</v>
      </c>
      <c r="AF47" s="392"/>
      <c r="AG47" s="392">
        <f>AG45/(AG4+AG6+AG8)</f>
        <v>0.12853431139721183</v>
      </c>
      <c r="AH47" s="392"/>
      <c r="AI47" s="392"/>
    </row>
    <row r="48" spans="1:35" ht="13.8">
      <c r="A48" s="392" t="s">
        <v>1089</v>
      </c>
      <c r="B48" s="392"/>
      <c r="C48" s="385"/>
      <c r="D48" s="392"/>
      <c r="E48" s="392">
        <f>E45/E43</f>
        <v>0.14999904533391031</v>
      </c>
      <c r="F48" s="392"/>
      <c r="G48" s="392">
        <f>G45/G43</f>
        <v>0.17051979977469892</v>
      </c>
      <c r="H48" s="392"/>
      <c r="I48" s="392">
        <f>I45/I43</f>
        <v>0.19117644814890256</v>
      </c>
      <c r="J48" s="392"/>
      <c r="K48" s="392">
        <f>K45/K43</f>
        <v>0.21195918843239056</v>
      </c>
      <c r="L48" s="392"/>
      <c r="M48" s="392">
        <f>M45/M43</f>
        <v>0.23285751157239243</v>
      </c>
      <c r="N48" s="392"/>
      <c r="O48" s="392">
        <f>O45/O43</f>
        <v>0.25386016764255143</v>
      </c>
      <c r="P48" s="392"/>
      <c r="Q48" s="392">
        <f>Q45/Q43</f>
        <v>0.27495513058592902</v>
      </c>
      <c r="R48" s="392"/>
      <c r="S48" s="392">
        <f>S45/S43</f>
        <v>0.29612956149085745</v>
      </c>
      <c r="T48" s="392"/>
      <c r="U48" s="392">
        <f>U45/U43</f>
        <v>0.31736977034245389</v>
      </c>
      <c r="V48" s="392"/>
      <c r="W48" s="392">
        <f>W45/W43</f>
        <v>0.33866117619047625</v>
      </c>
      <c r="X48" s="392"/>
      <c r="Y48" s="392">
        <f>Y45/Y43</f>
        <v>0.35998826567196551</v>
      </c>
      <c r="Z48" s="392"/>
      <c r="AA48" s="392">
        <f>AA45/AA43</f>
        <v>0.38133454982481302</v>
      </c>
      <c r="AB48" s="392"/>
      <c r="AC48" s="392">
        <f>AC45/AC43</f>
        <v>0.40268251912600278</v>
      </c>
      <c r="AD48" s="392"/>
      <c r="AE48" s="392">
        <f>AE45/AE43</f>
        <v>0.42401359668580352</v>
      </c>
      <c r="AF48" s="392"/>
      <c r="AG48" s="392">
        <f>AG45/AG43</f>
        <v>0.44530808952659068</v>
      </c>
      <c r="AH48" s="392"/>
      <c r="AI48" s="392"/>
    </row>
    <row r="49" spans="1:35" ht="13.8">
      <c r="A49" s="393" t="s">
        <v>1090</v>
      </c>
      <c r="B49" s="393"/>
      <c r="C49" s="394"/>
      <c r="D49" s="393"/>
      <c r="E49" s="393">
        <f>E37/E43</f>
        <v>1.1499990453339104</v>
      </c>
      <c r="F49" s="393"/>
      <c r="G49" s="393">
        <f>G37/G43</f>
        <v>1.170519799774699</v>
      </c>
      <c r="H49" s="393"/>
      <c r="I49" s="393">
        <f>I37/I43</f>
        <v>1.1911764481489024</v>
      </c>
      <c r="J49" s="393"/>
      <c r="K49" s="393">
        <f>K37/K43</f>
        <v>1.2119591884323906</v>
      </c>
      <c r="L49" s="393"/>
      <c r="M49" s="393">
        <f>M37/M43</f>
        <v>1.2328575115723923</v>
      </c>
      <c r="N49" s="393"/>
      <c r="O49" s="393">
        <f>O37/O43</f>
        <v>1.2538601676425514</v>
      </c>
      <c r="P49" s="393"/>
      <c r="Q49" s="393">
        <f>Q37/Q43</f>
        <v>1.274955130585929</v>
      </c>
      <c r="R49" s="393"/>
      <c r="S49" s="393">
        <f>S37/S43</f>
        <v>1.2961295614908575</v>
      </c>
      <c r="T49" s="393"/>
      <c r="U49" s="393">
        <f>U37/U43</f>
        <v>1.3173697703424538</v>
      </c>
      <c r="V49" s="393"/>
      <c r="W49" s="393">
        <f>W37/W43</f>
        <v>1.3386611761904763</v>
      </c>
      <c r="X49" s="393"/>
      <c r="Y49" s="393">
        <f>Y37/Y43</f>
        <v>1.3599882656719655</v>
      </c>
      <c r="Z49" s="393"/>
      <c r="AA49" s="393">
        <f>AA37/AA43</f>
        <v>1.3813345498248131</v>
      </c>
      <c r="AB49" s="393"/>
      <c r="AC49" s="393">
        <f>AC37/AC43</f>
        <v>1.4026825191260028</v>
      </c>
      <c r="AD49" s="393"/>
      <c r="AE49" s="393">
        <f>AE37/AE43</f>
        <v>1.4240135966858036</v>
      </c>
      <c r="AF49" s="393"/>
      <c r="AG49" s="393">
        <f>AG37/AG43</f>
        <v>1.4453080895265906</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968">
        <f>100*[1]Assumptions!$B$12</f>
        <v>6400</v>
      </c>
      <c r="F53" s="374"/>
      <c r="G53" s="819">
        <f>E53*$C$53</f>
        <v>6400</v>
      </c>
      <c r="H53" s="819"/>
      <c r="I53" s="819">
        <f>G53*$C$53</f>
        <v>6400</v>
      </c>
      <c r="J53" s="819"/>
      <c r="K53" s="819">
        <f>I53*$C$53</f>
        <v>6400</v>
      </c>
      <c r="L53" s="819"/>
      <c r="M53" s="819">
        <f>K53*$C$53</f>
        <v>6400</v>
      </c>
      <c r="N53" s="819"/>
      <c r="O53" s="819">
        <f>M53*$C$53</f>
        <v>6400</v>
      </c>
      <c r="P53" s="819"/>
      <c r="Q53" s="819">
        <f>O53*$C$53</f>
        <v>6400</v>
      </c>
      <c r="R53" s="819"/>
      <c r="S53" s="819">
        <f>Q53*$C$53</f>
        <v>6400</v>
      </c>
      <c r="T53" s="819"/>
      <c r="U53" s="819">
        <f>S53*$C$53</f>
        <v>6400</v>
      </c>
      <c r="V53" s="819"/>
      <c r="W53" s="819">
        <f>U53*$C$53</f>
        <v>6400</v>
      </c>
      <c r="X53" s="819"/>
      <c r="Y53" s="819">
        <f>W53*$C$53</f>
        <v>6400</v>
      </c>
      <c r="Z53" s="819"/>
      <c r="AA53" s="819">
        <f>Y53*$C$53</f>
        <v>6400</v>
      </c>
      <c r="AB53" s="819"/>
      <c r="AC53" s="819">
        <f>AA53*$C$53</f>
        <v>6400</v>
      </c>
      <c r="AD53" s="819"/>
      <c r="AE53" s="819">
        <f>AC53*$C$53</f>
        <v>6400</v>
      </c>
      <c r="AF53" s="819"/>
      <c r="AG53" s="819">
        <f>AE53*$C$53</f>
        <v>6400</v>
      </c>
      <c r="AH53" s="374"/>
      <c r="AI53" s="374"/>
    </row>
    <row r="54" spans="1:35">
      <c r="A54" s="361" t="s">
        <v>1093</v>
      </c>
      <c r="B54" s="361"/>
      <c r="C54" s="409"/>
      <c r="D54" s="361"/>
      <c r="E54" s="969">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969">
        <v>6400</v>
      </c>
      <c r="F55" s="380"/>
      <c r="G55" s="818">
        <f t="shared" si="14"/>
        <v>6400</v>
      </c>
      <c r="H55" s="818"/>
      <c r="I55" s="818">
        <f t="shared" si="14"/>
        <v>6400</v>
      </c>
      <c r="J55" s="818"/>
      <c r="K55" s="818">
        <f t="shared" si="14"/>
        <v>6400</v>
      </c>
      <c r="L55" s="818"/>
      <c r="M55" s="818">
        <f t="shared" si="14"/>
        <v>6400</v>
      </c>
      <c r="N55" s="818"/>
      <c r="O55" s="818">
        <f t="shared" si="14"/>
        <v>6400</v>
      </c>
      <c r="P55" s="818"/>
      <c r="Q55" s="818">
        <f t="shared" si="14"/>
        <v>6400</v>
      </c>
      <c r="R55" s="818"/>
      <c r="S55" s="818">
        <f t="shared" si="14"/>
        <v>6400</v>
      </c>
      <c r="T55" s="818"/>
      <c r="U55" s="818">
        <f t="shared" si="14"/>
        <v>6400</v>
      </c>
      <c r="V55" s="818"/>
      <c r="W55" s="818">
        <f t="shared" si="14"/>
        <v>6400</v>
      </c>
      <c r="X55" s="818"/>
      <c r="Y55" s="818">
        <f t="shared" si="14"/>
        <v>6400</v>
      </c>
      <c r="Z55" s="818"/>
      <c r="AA55" s="818">
        <f t="shared" si="14"/>
        <v>6400</v>
      </c>
      <c r="AB55" s="818"/>
      <c r="AC55" s="818">
        <f t="shared" si="14"/>
        <v>6400</v>
      </c>
      <c r="AD55" s="818"/>
      <c r="AE55" s="818">
        <f t="shared" si="14"/>
        <v>6400</v>
      </c>
      <c r="AF55" s="818"/>
      <c r="AG55" s="818">
        <f t="shared" si="14"/>
        <v>6400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20300</v>
      </c>
      <c r="F58" s="380"/>
      <c r="G58" s="380">
        <f>SUM(G53:G57)</f>
        <v>20300</v>
      </c>
      <c r="H58" s="380"/>
      <c r="I58" s="380">
        <f>SUM(I53:I57)</f>
        <v>20300</v>
      </c>
      <c r="J58" s="380"/>
      <c r="K58" s="380">
        <f>SUM(K53:K57)</f>
        <v>20300</v>
      </c>
      <c r="L58" s="380"/>
      <c r="M58" s="380">
        <f>SUM(M53:M57)</f>
        <v>20300</v>
      </c>
      <c r="N58" s="380"/>
      <c r="O58" s="380">
        <f>SUM(O53:O57)</f>
        <v>20300</v>
      </c>
      <c r="P58" s="380"/>
      <c r="Q58" s="380">
        <f>SUM(Q53:Q57)</f>
        <v>20300</v>
      </c>
      <c r="R58" s="380"/>
      <c r="S58" s="380">
        <f>SUM(S53:S57)</f>
        <v>20300</v>
      </c>
      <c r="T58" s="380"/>
      <c r="U58" s="380">
        <f>SUM(U53:U57)</f>
        <v>20300</v>
      </c>
      <c r="V58" s="380"/>
      <c r="W58" s="380">
        <f>SUM(W53:W57)</f>
        <v>20300</v>
      </c>
      <c r="X58" s="380"/>
      <c r="Y58" s="380">
        <f>SUM(Y53:Y57)</f>
        <v>20300</v>
      </c>
      <c r="Z58" s="380"/>
      <c r="AA58" s="380">
        <f>SUM(AA53:AA57)</f>
        <v>20300</v>
      </c>
      <c r="AB58" s="380"/>
      <c r="AC58" s="380">
        <f>SUM(AC53:AC57)</f>
        <v>20300</v>
      </c>
      <c r="AD58" s="380"/>
      <c r="AE58" s="380">
        <f>SUM(AE53:AE57)</f>
        <v>20300</v>
      </c>
      <c r="AF58" s="380"/>
      <c r="AG58" s="380">
        <f>SUM(AG53:AG57)</f>
        <v>20300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26836.599999999977</v>
      </c>
      <c r="F60" s="374"/>
      <c r="G60" s="374">
        <f>G45-G58</f>
        <v>33285.165000000037</v>
      </c>
      <c r="H60" s="374"/>
      <c r="I60" s="374">
        <f>I45-I58</f>
        <v>39776.434125000029</v>
      </c>
      <c r="J60" s="374"/>
      <c r="K60" s="374">
        <f>K45-K58</f>
        <v>46307.327128125005</v>
      </c>
      <c r="L60" s="374"/>
      <c r="M60" s="374">
        <f>M45-M58</f>
        <v>52874.541581578029</v>
      </c>
      <c r="N60" s="374"/>
      <c r="O60" s="374">
        <f>O45-O58</f>
        <v>59474.542241001211</v>
      </c>
      <c r="P60" s="374"/>
      <c r="Q60" s="374">
        <f>Q45-Q58</f>
        <v>66103.549966105842</v>
      </c>
      <c r="R60" s="374"/>
      <c r="S60" s="374">
        <f>S45-S58</f>
        <v>72757.530180255999</v>
      </c>
      <c r="T60" s="374"/>
      <c r="U60" s="374">
        <f>U45-U58</f>
        <v>79432.180851034762</v>
      </c>
      <c r="V60" s="374"/>
      <c r="W60" s="374">
        <f>W45-W58</f>
        <v>86122.919973152399</v>
      </c>
      <c r="X60" s="374"/>
      <c r="Y60" s="374">
        <f>Y45-Y58</f>
        <v>92824.872534352471</v>
      </c>
      <c r="Z60" s="374"/>
      <c r="AA60" s="374">
        <f>AA45-AA58</f>
        <v>99532.856944248197</v>
      </c>
      <c r="AB60" s="374"/>
      <c r="AC60" s="374">
        <f>AC45-AC58</f>
        <v>106241.37090526987</v>
      </c>
      <c r="AD60" s="374"/>
      <c r="AE60" s="374">
        <f>AE45-AE58</f>
        <v>112944.57670412702</v>
      </c>
      <c r="AF60" s="374"/>
      <c r="AG60" s="374">
        <f>AG45-AG58</f>
        <v>119636.28590137302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f>+E60</f>
        <v>26836.599999999977</v>
      </c>
      <c r="F62" s="374"/>
      <c r="G62" s="821">
        <f>G60*$C$62</f>
        <v>33285.165000000037</v>
      </c>
      <c r="H62" s="374"/>
      <c r="I62" s="821">
        <f>I60*$C$62</f>
        <v>39776.434125000029</v>
      </c>
      <c r="J62" s="374"/>
      <c r="K62" s="821">
        <f>K60*$C$62</f>
        <v>46307.327128125005</v>
      </c>
      <c r="L62" s="374"/>
      <c r="M62" s="821">
        <f>M60*$C$62</f>
        <v>52874.541581578029</v>
      </c>
      <c r="N62" s="374"/>
      <c r="O62" s="821">
        <f>O60*$C$62</f>
        <v>59474.542241001211</v>
      </c>
      <c r="P62" s="374"/>
      <c r="Q62" s="821">
        <f>Q60*$C$62</f>
        <v>66103.549966105842</v>
      </c>
      <c r="R62" s="374"/>
      <c r="S62" s="821">
        <f>S60*$C$62</f>
        <v>72757.530180255999</v>
      </c>
      <c r="T62" s="374"/>
      <c r="U62" s="821">
        <f>U60*$C$62</f>
        <v>79432.180851034762</v>
      </c>
      <c r="V62" s="374"/>
      <c r="W62" s="821">
        <f>W60*$C$62</f>
        <v>86122.919973152399</v>
      </c>
      <c r="X62" s="374"/>
      <c r="Y62" s="821">
        <f>Y60*$C$62</f>
        <v>92824.872534352471</v>
      </c>
      <c r="Z62" s="374"/>
      <c r="AA62" s="821">
        <f>AA60*$C$62</f>
        <v>99532.856944248197</v>
      </c>
      <c r="AB62" s="374"/>
      <c r="AC62" s="821">
        <f>AC60*$C$62</f>
        <v>106241.37090526987</v>
      </c>
      <c r="AD62" s="374"/>
      <c r="AE62" s="821">
        <f>AE60*$C$62</f>
        <v>112944.57670412702</v>
      </c>
      <c r="AF62" s="374"/>
      <c r="AG62" s="821">
        <f>AG60*$C$62</f>
        <v>119636.28590137302</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87" t="s">
        <v>1099</v>
      </c>
      <c r="B77" s="1987"/>
      <c r="C77" s="1987"/>
      <c r="D77" s="1987"/>
      <c r="E77" s="1987"/>
      <c r="F77" s="1987"/>
      <c r="G77" s="1987"/>
      <c r="H77" s="1987"/>
      <c r="I77" s="1987"/>
      <c r="J77" s="1987"/>
      <c r="K77" s="1987"/>
      <c r="L77" s="1987"/>
      <c r="M77" s="1987"/>
      <c r="N77" s="1987"/>
      <c r="O77" s="1987"/>
      <c r="P77" s="1987"/>
      <c r="Q77" s="1987"/>
      <c r="R77" s="1987"/>
      <c r="S77" s="1987"/>
      <c r="T77" s="1987"/>
      <c r="U77" s="1987"/>
      <c r="V77" s="1987"/>
      <c r="W77" s="1987"/>
      <c r="X77" s="1987"/>
      <c r="Y77" s="1987"/>
      <c r="Z77" s="1987"/>
      <c r="AA77" s="1987"/>
      <c r="AB77" s="1987"/>
      <c r="AC77" s="1987"/>
      <c r="AD77" s="1987"/>
      <c r="AE77" s="1987"/>
      <c r="AF77" s="1987"/>
      <c r="AG77" s="198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88" t="s">
        <v>1170</v>
      </c>
      <c r="B1" s="1988"/>
      <c r="C1" s="1988"/>
      <c r="D1" s="1988"/>
      <c r="E1" s="1988"/>
      <c r="F1" s="1988"/>
      <c r="G1" s="1988"/>
      <c r="H1" s="1988"/>
      <c r="I1" s="198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2 Bedrooms</v>
      </c>
      <c r="B4" s="944">
        <f>Application!$G695</f>
        <v>7</v>
      </c>
      <c r="C4" s="602">
        <f>Application!$O695</f>
        <v>582</v>
      </c>
      <c r="D4" s="603"/>
      <c r="E4" s="942"/>
      <c r="F4" s="602">
        <f>$E4*$B4</f>
        <v>0</v>
      </c>
      <c r="G4" s="603"/>
      <c r="H4" s="602">
        <f>IF($E4=0,0,MAX($E4-$C4,0))</f>
        <v>0</v>
      </c>
      <c r="I4" s="602">
        <f>IF($H4=0,0,($H4*$B4))</f>
        <v>0</v>
      </c>
    </row>
    <row r="5" spans="1:9">
      <c r="A5" s="602" t="str">
        <f>Application!$B696</f>
        <v>2 Bedrooms</v>
      </c>
      <c r="B5" s="943">
        <f>Application!$G696</f>
        <v>4</v>
      </c>
      <c r="C5" s="602">
        <f>Application!$O696</f>
        <v>780</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7</v>
      </c>
      <c r="C6" s="602">
        <f>Application!$O697</f>
        <v>978</v>
      </c>
      <c r="D6" s="603"/>
      <c r="E6" s="942"/>
      <c r="F6" s="602">
        <f t="shared" si="0"/>
        <v>0</v>
      </c>
      <c r="G6" s="603"/>
      <c r="H6" s="602">
        <f t="shared" si="1"/>
        <v>0</v>
      </c>
      <c r="I6" s="602">
        <f t="shared" si="2"/>
        <v>0</v>
      </c>
    </row>
    <row r="7" spans="1:9">
      <c r="A7" s="602" t="str">
        <f>Application!$B698</f>
        <v>2 Bedrooms</v>
      </c>
      <c r="B7" s="943">
        <f>Application!$G698</f>
        <v>13</v>
      </c>
      <c r="C7" s="602">
        <f>Application!$O698</f>
        <v>1160</v>
      </c>
      <c r="D7" s="603"/>
      <c r="E7" s="942"/>
      <c r="F7" s="602">
        <f t="shared" si="0"/>
        <v>0</v>
      </c>
      <c r="G7" s="603"/>
      <c r="H7" s="602">
        <f t="shared" si="1"/>
        <v>0</v>
      </c>
      <c r="I7" s="602">
        <f t="shared" si="2"/>
        <v>0</v>
      </c>
    </row>
    <row r="8" spans="1:9">
      <c r="A8" s="602" t="str">
        <f>Application!$B699</f>
        <v>3 Bedrooms</v>
      </c>
      <c r="B8" s="943">
        <f>Application!$G699</f>
        <v>8</v>
      </c>
      <c r="C8" s="602">
        <f>Application!$O699</f>
        <v>673</v>
      </c>
      <c r="D8" s="603"/>
      <c r="E8" s="942"/>
      <c r="F8" s="602">
        <f t="shared" si="0"/>
        <v>0</v>
      </c>
      <c r="G8" s="603"/>
      <c r="H8" s="602">
        <f t="shared" si="1"/>
        <v>0</v>
      </c>
      <c r="I8" s="602">
        <f t="shared" si="2"/>
        <v>0</v>
      </c>
    </row>
    <row r="9" spans="1:9">
      <c r="A9" s="602" t="str">
        <f>Application!$B700</f>
        <v>3 Bedrooms</v>
      </c>
      <c r="B9" s="943">
        <f>Application!$G700</f>
        <v>4</v>
      </c>
      <c r="C9" s="602">
        <f>Application!$O700</f>
        <v>902</v>
      </c>
      <c r="D9" s="603"/>
      <c r="E9" s="942"/>
      <c r="F9" s="602">
        <f t="shared" si="0"/>
        <v>0</v>
      </c>
      <c r="G9" s="603"/>
      <c r="H9" s="602">
        <f t="shared" si="1"/>
        <v>0</v>
      </c>
      <c r="I9" s="602">
        <f t="shared" si="2"/>
        <v>0</v>
      </c>
    </row>
    <row r="10" spans="1:9">
      <c r="A10" s="602" t="str">
        <f>Application!$B701</f>
        <v>3 Bedrooms</v>
      </c>
      <c r="B10" s="943">
        <f>Application!$G701</f>
        <v>7</v>
      </c>
      <c r="C10" s="602">
        <f>Application!$O701</f>
        <v>1131</v>
      </c>
      <c r="D10" s="603"/>
      <c r="E10" s="942"/>
      <c r="F10" s="602">
        <f t="shared" si="0"/>
        <v>0</v>
      </c>
      <c r="G10" s="603"/>
      <c r="H10" s="602">
        <f t="shared" si="1"/>
        <v>0</v>
      </c>
      <c r="I10" s="602">
        <f t="shared" si="2"/>
        <v>0</v>
      </c>
    </row>
    <row r="11" spans="1:9">
      <c r="A11" s="602" t="str">
        <f>Application!$B702</f>
        <v>3 Bedrooms</v>
      </c>
      <c r="B11" s="943">
        <f>Application!$G702</f>
        <v>13</v>
      </c>
      <c r="C11" s="602">
        <f>Application!$O702</f>
        <v>1300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755148</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52" t="s">
        <v>1100</v>
      </c>
      <c r="B1" s="1653"/>
      <c r="C1" s="1653"/>
      <c r="D1" s="1653"/>
      <c r="E1" s="1653"/>
      <c r="F1" s="1653"/>
      <c r="G1" s="1653"/>
      <c r="H1" s="1653"/>
      <c r="I1" s="1653"/>
      <c r="J1" s="1653"/>
      <c r="K1" s="1653"/>
      <c r="L1" s="1653"/>
      <c r="M1" s="1653"/>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c r="AL1" s="1653"/>
      <c r="AM1" s="1653"/>
      <c r="AN1" s="1653"/>
    </row>
    <row r="2" spans="1:40" ht="12.9" customHeight="1" thickBot="1">
      <c r="A2" s="1654"/>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38" t="s">
        <v>1606</v>
      </c>
      <c r="U7" s="1638"/>
      <c r="V7" s="1638"/>
      <c r="W7" s="1638"/>
      <c r="X7" s="1638"/>
      <c r="Y7" s="1638" t="s">
        <v>1748</v>
      </c>
      <c r="Z7" s="1638"/>
      <c r="AA7" s="1638"/>
      <c r="AB7" s="1638"/>
      <c r="AC7" s="1638"/>
      <c r="AD7" s="1638" t="s">
        <v>1360</v>
      </c>
      <c r="AE7" s="1638"/>
      <c r="AF7" s="1638"/>
      <c r="AG7" s="1638"/>
      <c r="AH7" s="1638"/>
      <c r="AI7" s="1638" t="s">
        <v>1749</v>
      </c>
      <c r="AJ7" s="1638"/>
      <c r="AK7" s="1638"/>
      <c r="AL7" s="1638"/>
      <c r="AM7" s="1638"/>
    </row>
    <row r="8" spans="1:40" ht="12.9" customHeight="1">
      <c r="B8" s="204"/>
      <c r="T8" s="1638"/>
      <c r="U8" s="1638"/>
      <c r="V8" s="1638"/>
      <c r="W8" s="1638"/>
      <c r="X8" s="1638"/>
      <c r="Y8" s="1638"/>
      <c r="Z8" s="1638"/>
      <c r="AA8" s="1638"/>
      <c r="AB8" s="1638"/>
      <c r="AC8" s="1638"/>
      <c r="AD8" s="1638"/>
      <c r="AE8" s="1638"/>
      <c r="AF8" s="1638"/>
      <c r="AG8" s="1638"/>
      <c r="AH8" s="1638"/>
      <c r="AI8" s="1638"/>
      <c r="AJ8" s="1638"/>
      <c r="AK8" s="1638"/>
      <c r="AL8" s="1638"/>
      <c r="AM8" s="1638"/>
    </row>
    <row r="9" spans="1:40" ht="12.9" customHeight="1">
      <c r="B9" s="204"/>
      <c r="T9" s="1638"/>
      <c r="U9" s="1638"/>
      <c r="V9" s="1638"/>
      <c r="W9" s="1638"/>
      <c r="X9" s="1638"/>
      <c r="Y9" s="1638"/>
      <c r="Z9" s="1638"/>
      <c r="AA9" s="1638"/>
      <c r="AB9" s="1638"/>
      <c r="AC9" s="1638"/>
      <c r="AD9" s="1638"/>
      <c r="AE9" s="1638"/>
      <c r="AF9" s="1638"/>
      <c r="AG9" s="1638"/>
      <c r="AH9" s="1638"/>
      <c r="AI9" s="1638"/>
      <c r="AJ9" s="1638"/>
      <c r="AK9" s="1638"/>
      <c r="AL9" s="1638"/>
      <c r="AM9" s="1638"/>
    </row>
    <row r="10" spans="1:40" ht="12.9" customHeight="1">
      <c r="B10" s="53"/>
      <c r="C10" s="54"/>
      <c r="D10" s="54"/>
      <c r="E10" s="54"/>
      <c r="F10" s="54"/>
      <c r="G10" s="54"/>
      <c r="H10" s="54"/>
      <c r="I10" s="54"/>
      <c r="J10" s="54"/>
      <c r="K10" s="54"/>
      <c r="L10" s="54"/>
      <c r="M10" s="54"/>
      <c r="N10" s="54"/>
      <c r="O10" s="54"/>
      <c r="P10" s="54"/>
      <c r="Q10" s="54"/>
      <c r="R10" s="54"/>
      <c r="S10" s="54"/>
      <c r="T10" s="1638"/>
      <c r="U10" s="1638"/>
      <c r="V10" s="1638"/>
      <c r="W10" s="1638"/>
      <c r="X10" s="1638"/>
      <c r="Y10" s="1638"/>
      <c r="Z10" s="1638"/>
      <c r="AA10" s="1638"/>
      <c r="AB10" s="1638"/>
      <c r="AC10" s="1638"/>
      <c r="AD10" s="1638"/>
      <c r="AE10" s="1638"/>
      <c r="AF10" s="1638"/>
      <c r="AG10" s="1638"/>
      <c r="AH10" s="1638"/>
      <c r="AI10" s="1638"/>
      <c r="AJ10" s="1638"/>
      <c r="AK10" s="1638"/>
      <c r="AL10" s="1638"/>
      <c r="AM10" s="1638"/>
    </row>
    <row r="11" spans="1:40" ht="12.9" customHeight="1">
      <c r="B11" s="1061" t="s">
        <v>508</v>
      </c>
      <c r="C11" s="1062"/>
      <c r="D11" s="1062"/>
      <c r="E11" s="1062"/>
      <c r="F11" s="1062"/>
      <c r="G11" s="1062"/>
      <c r="H11" s="1062"/>
      <c r="I11" s="1062"/>
      <c r="J11" s="1062"/>
      <c r="K11" s="1062"/>
      <c r="L11" s="1062"/>
      <c r="M11" s="1062"/>
      <c r="N11" s="1062"/>
      <c r="O11" s="1062"/>
      <c r="P11" s="1062"/>
      <c r="Q11" s="1062"/>
      <c r="R11" s="1062"/>
      <c r="S11" s="1063"/>
      <c r="T11" s="1646">
        <f>IF('Sources and Basis Breakdown'!F105=0,'Sources and Basis Breakdown'!E105,'Sources and Basis Breakdown'!F105)</f>
        <v>30953469</v>
      </c>
      <c r="U11" s="1639"/>
      <c r="V11" s="1639"/>
      <c r="W11" s="1639"/>
      <c r="X11" s="1639"/>
      <c r="Y11" s="1655">
        <f>IF('Sources and Basis Breakdown'!G105+'Sources and Basis Breakdown'!F105='Sources and Basis Breakdown'!E105,'Sources and Basis Breakdown'!G105,0)</f>
        <v>0</v>
      </c>
      <c r="Z11" s="1639"/>
      <c r="AA11" s="1639"/>
      <c r="AB11" s="1639"/>
      <c r="AC11" s="1639"/>
      <c r="AD11" s="1639">
        <f>IF('Sources and Basis Breakdown'!I105=0,'Sources and Basis Breakdown'!H105,'Sources and Basis Breakdown'!I105)</f>
        <v>0</v>
      </c>
      <c r="AE11" s="1639"/>
      <c r="AF11" s="1639"/>
      <c r="AG11" s="1639"/>
      <c r="AH11" s="1639"/>
      <c r="AI11" s="1639">
        <f>IF('Sources and Basis Breakdown'!I105+'Sources and Basis Breakdown'!J105='Sources and Basis Breakdown'!H105,'Sources and Basis Breakdown'!J105,0)</f>
        <v>0</v>
      </c>
      <c r="AJ11" s="1639"/>
      <c r="AK11" s="1639"/>
      <c r="AL11" s="1639"/>
      <c r="AM11" s="1639"/>
    </row>
    <row r="12" spans="1:40" ht="12.9" customHeight="1">
      <c r="B12" s="1640" t="s">
        <v>447</v>
      </c>
      <c r="C12" s="1031"/>
      <c r="D12" s="1031"/>
      <c r="E12" s="1031"/>
      <c r="F12" s="1031"/>
      <c r="G12" s="1031"/>
      <c r="H12" s="1031"/>
      <c r="I12" s="1031"/>
      <c r="J12" s="1031"/>
      <c r="K12" s="1031"/>
      <c r="L12" s="1031"/>
      <c r="M12" s="1031"/>
      <c r="N12" s="1031"/>
      <c r="O12" s="1031"/>
      <c r="P12" s="1031"/>
      <c r="Q12" s="1031"/>
      <c r="R12" s="1031"/>
      <c r="S12" s="1641"/>
      <c r="T12" s="1649"/>
      <c r="U12" s="1650"/>
      <c r="V12" s="1650"/>
      <c r="W12" s="1650"/>
      <c r="X12" s="1651"/>
      <c r="Y12" s="1649"/>
      <c r="Z12" s="1650"/>
      <c r="AA12" s="1650"/>
      <c r="AB12" s="1650"/>
      <c r="AC12" s="1651"/>
      <c r="AD12" s="1649"/>
      <c r="AE12" s="1650"/>
      <c r="AF12" s="1650"/>
      <c r="AG12" s="1650"/>
      <c r="AH12" s="1651"/>
      <c r="AI12" s="1649"/>
      <c r="AJ12" s="1650"/>
      <c r="AK12" s="1650"/>
      <c r="AL12" s="1650"/>
      <c r="AM12" s="1651"/>
    </row>
    <row r="13" spans="1:40" ht="12.9" customHeight="1">
      <c r="B13" s="8"/>
      <c r="C13" s="1642" t="s">
        <v>1712</v>
      </c>
      <c r="D13" s="1643"/>
      <c r="E13" s="1643"/>
      <c r="F13" s="1643"/>
      <c r="G13" s="1643"/>
      <c r="H13" s="1643"/>
      <c r="I13" s="1643"/>
      <c r="J13" s="1643"/>
      <c r="K13" s="1643"/>
      <c r="L13" s="1643"/>
      <c r="M13" s="1643"/>
      <c r="N13" s="1643"/>
      <c r="O13" s="1643"/>
      <c r="P13" s="1643"/>
      <c r="Q13" s="1643"/>
      <c r="R13" s="1643"/>
      <c r="S13" s="1644"/>
      <c r="T13" s="1647">
        <f>'Basis &amp; Credits'!T13</f>
        <v>0</v>
      </c>
      <c r="U13" s="1648"/>
      <c r="V13" s="1648"/>
      <c r="W13" s="1648"/>
      <c r="X13" s="1648"/>
      <c r="Y13" s="1647">
        <f>'Basis &amp; Credits'!Y13</f>
        <v>0</v>
      </c>
      <c r="Z13" s="1648"/>
      <c r="AA13" s="1648"/>
      <c r="AB13" s="1648"/>
      <c r="AC13" s="1648"/>
      <c r="AD13" s="1648">
        <f>'Basis &amp; Credits'!AD13</f>
        <v>0</v>
      </c>
      <c r="AE13" s="1648"/>
      <c r="AF13" s="1648"/>
      <c r="AG13" s="1648"/>
      <c r="AH13" s="1648"/>
      <c r="AI13" s="1648">
        <f>'Basis &amp; Credits'!AI13</f>
        <v>0</v>
      </c>
      <c r="AJ13" s="1648"/>
      <c r="AK13" s="1648"/>
      <c r="AL13" s="1648"/>
      <c r="AM13" s="1648"/>
    </row>
    <row r="14" spans="1:40" ht="12.9" customHeight="1">
      <c r="B14" s="8"/>
      <c r="C14" s="1643" t="s">
        <v>768</v>
      </c>
      <c r="D14" s="1643"/>
      <c r="E14" s="1643"/>
      <c r="F14" s="1643"/>
      <c r="G14" s="1643"/>
      <c r="H14" s="1643"/>
      <c r="I14" s="1643"/>
      <c r="J14" s="1643"/>
      <c r="K14" s="1643"/>
      <c r="L14" s="1643"/>
      <c r="M14" s="1643"/>
      <c r="N14" s="1643"/>
      <c r="O14" s="1643"/>
      <c r="P14" s="1643"/>
      <c r="Q14" s="1643"/>
      <c r="R14" s="1643"/>
      <c r="S14" s="1644"/>
      <c r="T14" s="1086">
        <f>'Basis &amp; Credits'!T14</f>
        <v>0</v>
      </c>
      <c r="U14" s="1258"/>
      <c r="V14" s="1258"/>
      <c r="W14" s="1258"/>
      <c r="X14" s="1258"/>
      <c r="Y14" s="1086">
        <f>'Basis &amp; Credits'!Y14</f>
        <v>0</v>
      </c>
      <c r="Z14" s="1258"/>
      <c r="AA14" s="1258"/>
      <c r="AB14" s="1258"/>
      <c r="AC14" s="1258"/>
      <c r="AD14" s="1258">
        <f>'Basis &amp; Credits'!AD14</f>
        <v>0</v>
      </c>
      <c r="AE14" s="1258"/>
      <c r="AF14" s="1258"/>
      <c r="AG14" s="1258"/>
      <c r="AH14" s="1258"/>
      <c r="AI14" s="1258">
        <f>'Basis &amp; Credits'!AI14</f>
        <v>0</v>
      </c>
      <c r="AJ14" s="1258"/>
      <c r="AK14" s="1258"/>
      <c r="AL14" s="1258"/>
      <c r="AM14" s="1258"/>
    </row>
    <row r="15" spans="1:40" ht="12.9" customHeight="1">
      <c r="B15" s="8"/>
      <c r="C15" s="1643" t="s">
        <v>769</v>
      </c>
      <c r="D15" s="1643"/>
      <c r="E15" s="1643"/>
      <c r="F15" s="1643"/>
      <c r="G15" s="1643"/>
      <c r="H15" s="1643"/>
      <c r="I15" s="1643"/>
      <c r="J15" s="1643"/>
      <c r="K15" s="1643"/>
      <c r="L15" s="1643"/>
      <c r="M15" s="1643"/>
      <c r="N15" s="1643"/>
      <c r="O15" s="1643"/>
      <c r="P15" s="1643"/>
      <c r="Q15" s="1643"/>
      <c r="R15" s="1643"/>
      <c r="S15" s="1644"/>
      <c r="T15" s="1086">
        <f>'Basis &amp; Credits'!T15</f>
        <v>0</v>
      </c>
      <c r="U15" s="1258"/>
      <c r="V15" s="1258"/>
      <c r="W15" s="1258"/>
      <c r="X15" s="1258"/>
      <c r="Y15" s="1086">
        <f>'Basis &amp; Credits'!Y15</f>
        <v>0</v>
      </c>
      <c r="Z15" s="1258"/>
      <c r="AA15" s="1258"/>
      <c r="AB15" s="1258"/>
      <c r="AC15" s="1258"/>
      <c r="AD15" s="1258">
        <f>'Basis &amp; Credits'!AD15</f>
        <v>0</v>
      </c>
      <c r="AE15" s="1258"/>
      <c r="AF15" s="1258"/>
      <c r="AG15" s="1258"/>
      <c r="AH15" s="1258"/>
      <c r="AI15" s="1258">
        <f>'Basis &amp; Credits'!AI15</f>
        <v>0</v>
      </c>
      <c r="AJ15" s="1258"/>
      <c r="AK15" s="1258"/>
      <c r="AL15" s="1258"/>
      <c r="AM15" s="1258"/>
    </row>
    <row r="16" spans="1:40" ht="12.9" customHeight="1">
      <c r="B16" s="8"/>
      <c r="C16" s="1642" t="s">
        <v>1012</v>
      </c>
      <c r="D16" s="1642"/>
      <c r="E16" s="1642"/>
      <c r="F16" s="1642"/>
      <c r="G16" s="1642"/>
      <c r="H16" s="1642"/>
      <c r="I16" s="1642"/>
      <c r="J16" s="1642"/>
      <c r="K16" s="1642"/>
      <c r="L16" s="1642"/>
      <c r="M16" s="1642"/>
      <c r="N16" s="1642"/>
      <c r="O16" s="1642"/>
      <c r="P16" s="1642"/>
      <c r="Q16" s="1642"/>
      <c r="R16" s="1642"/>
      <c r="S16" s="1645"/>
      <c r="T16" s="1086">
        <f>'Basis &amp; Credits'!T16</f>
        <v>0</v>
      </c>
      <c r="U16" s="1258"/>
      <c r="V16" s="1258"/>
      <c r="W16" s="1258"/>
      <c r="X16" s="1258"/>
      <c r="Y16" s="1086">
        <f>'Basis &amp; Credits'!Y16</f>
        <v>0</v>
      </c>
      <c r="Z16" s="1258"/>
      <c r="AA16" s="1258"/>
      <c r="AB16" s="1258"/>
      <c r="AC16" s="1258"/>
      <c r="AD16" s="1258">
        <f>'Basis &amp; Credits'!AD16</f>
        <v>0</v>
      </c>
      <c r="AE16" s="1258"/>
      <c r="AF16" s="1258"/>
      <c r="AG16" s="1258"/>
      <c r="AH16" s="1258"/>
      <c r="AI16" s="1258">
        <f>'Basis &amp; Credits'!AI16</f>
        <v>0</v>
      </c>
      <c r="AJ16" s="1258"/>
      <c r="AK16" s="1258"/>
      <c r="AL16" s="1258"/>
      <c r="AM16" s="1258"/>
    </row>
    <row r="17" spans="1:39" ht="12.9" customHeight="1">
      <c r="B17" s="8"/>
      <c r="C17" s="1643" t="s">
        <v>770</v>
      </c>
      <c r="D17" s="1643"/>
      <c r="E17" s="1643"/>
      <c r="F17" s="1643"/>
      <c r="G17" s="1643"/>
      <c r="H17" s="1643"/>
      <c r="I17" s="1643"/>
      <c r="J17" s="1643"/>
      <c r="K17" s="1643"/>
      <c r="L17" s="1643"/>
      <c r="M17" s="1643"/>
      <c r="N17" s="1643"/>
      <c r="O17" s="1643"/>
      <c r="P17" s="1643"/>
      <c r="Q17" s="1643"/>
      <c r="R17" s="1643"/>
      <c r="S17" s="1644"/>
      <c r="T17" s="1086">
        <f>'Basis &amp; Credits'!T17</f>
        <v>0</v>
      </c>
      <c r="U17" s="1258"/>
      <c r="V17" s="1258"/>
      <c r="W17" s="1258"/>
      <c r="X17" s="1258"/>
      <c r="Y17" s="1086">
        <f>'Basis &amp; Credits'!Y17</f>
        <v>0</v>
      </c>
      <c r="Z17" s="1258"/>
      <c r="AA17" s="1258"/>
      <c r="AB17" s="1258"/>
      <c r="AC17" s="1258"/>
      <c r="AD17" s="1258">
        <f>'Basis &amp; Credits'!AD17</f>
        <v>0</v>
      </c>
      <c r="AE17" s="1258"/>
      <c r="AF17" s="1258"/>
      <c r="AG17" s="1258"/>
      <c r="AH17" s="1258"/>
      <c r="AI17" s="1258">
        <f>'Basis &amp; Credits'!AI17</f>
        <v>0</v>
      </c>
      <c r="AJ17" s="1258"/>
      <c r="AK17" s="1258"/>
      <c r="AL17" s="1258"/>
      <c r="AM17" s="1258"/>
    </row>
    <row r="18" spans="1:39" ht="12.9" customHeight="1">
      <c r="B18" s="593"/>
      <c r="C18" s="1642" t="s">
        <v>1364</v>
      </c>
      <c r="D18" s="1643"/>
      <c r="E18" s="1643"/>
      <c r="F18" s="1643"/>
      <c r="G18" s="1643"/>
      <c r="H18" s="1643"/>
      <c r="I18" s="1643"/>
      <c r="J18" s="1643"/>
      <c r="K18" s="1643"/>
      <c r="L18" s="1643"/>
      <c r="M18" s="1643"/>
      <c r="N18" s="1643"/>
      <c r="O18" s="1643"/>
      <c r="P18" s="1643"/>
      <c r="Q18" s="1643"/>
      <c r="R18" s="1643"/>
      <c r="S18" s="1644"/>
      <c r="T18" s="1084">
        <f>'Basis &amp; Credits'!T18</f>
        <v>0</v>
      </c>
      <c r="U18" s="1085"/>
      <c r="V18" s="1085"/>
      <c r="W18" s="1085"/>
      <c r="X18" s="1086"/>
      <c r="Y18" s="1086">
        <f>'Basis &amp; Credits'!Y18</f>
        <v>0</v>
      </c>
      <c r="Z18" s="1258"/>
      <c r="AA18" s="1258"/>
      <c r="AB18" s="1258"/>
      <c r="AC18" s="1258"/>
      <c r="AD18" s="1258">
        <f>'Basis &amp; Credits'!AD18</f>
        <v>0</v>
      </c>
      <c r="AE18" s="1258"/>
      <c r="AF18" s="1258"/>
      <c r="AG18" s="1258"/>
      <c r="AH18" s="1258"/>
      <c r="AI18" s="1258">
        <f>'Basis &amp; Credits'!AI18</f>
        <v>0</v>
      </c>
      <c r="AJ18" s="1258"/>
      <c r="AK18" s="1258"/>
      <c r="AL18" s="1258"/>
      <c r="AM18" s="1258"/>
    </row>
    <row r="19" spans="1:39" ht="12.9"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086">
        <f>'Basis &amp; Credits'!T19</f>
        <v>0</v>
      </c>
      <c r="U19" s="1258"/>
      <c r="V19" s="1258"/>
      <c r="W19" s="1258"/>
      <c r="X19" s="1258"/>
      <c r="Y19" s="1086">
        <f>'Basis &amp; Credits'!Y19</f>
        <v>0</v>
      </c>
      <c r="Z19" s="1258"/>
      <c r="AA19" s="1258"/>
      <c r="AB19" s="1258"/>
      <c r="AC19" s="1258"/>
      <c r="AD19" s="1258">
        <f>'Basis &amp; Credits'!AD19</f>
        <v>0</v>
      </c>
      <c r="AE19" s="1258"/>
      <c r="AF19" s="1258"/>
      <c r="AG19" s="1258"/>
      <c r="AH19" s="1258"/>
      <c r="AI19" s="1258">
        <f>'Basis &amp; Credits'!AI19</f>
        <v>0</v>
      </c>
      <c r="AJ19" s="1258"/>
      <c r="AK19" s="1258"/>
      <c r="AL19" s="1258"/>
      <c r="AM19" s="1258"/>
    </row>
    <row r="20" spans="1:39" ht="12.9" customHeight="1">
      <c r="B20" s="1061" t="s">
        <v>771</v>
      </c>
      <c r="C20" s="1062"/>
      <c r="D20" s="1062"/>
      <c r="E20" s="1062"/>
      <c r="F20" s="1062"/>
      <c r="G20" s="1062"/>
      <c r="H20" s="1062"/>
      <c r="I20" s="1062"/>
      <c r="J20" s="1062"/>
      <c r="K20" s="1062"/>
      <c r="L20" s="1062"/>
      <c r="M20" s="1062"/>
      <c r="N20" s="1062"/>
      <c r="O20" s="1062"/>
      <c r="P20" s="1062"/>
      <c r="Q20" s="1062"/>
      <c r="R20" s="1062"/>
      <c r="S20" s="1063"/>
      <c r="T20" s="1631">
        <f>SUM(T13:X19)</f>
        <v>0</v>
      </c>
      <c r="U20" s="1273"/>
      <c r="V20" s="1273"/>
      <c r="W20" s="1273"/>
      <c r="X20" s="1273"/>
      <c r="Y20" s="1631">
        <f>SUM(Y13:AC19)</f>
        <v>0</v>
      </c>
      <c r="Z20" s="1273"/>
      <c r="AA20" s="1273"/>
      <c r="AB20" s="1273"/>
      <c r="AC20" s="1273"/>
      <c r="AD20" s="1273">
        <f>SUM(AD13:AH19)</f>
        <v>0</v>
      </c>
      <c r="AE20" s="1273"/>
      <c r="AF20" s="1273"/>
      <c r="AG20" s="1273"/>
      <c r="AH20" s="1273"/>
      <c r="AI20" s="1273">
        <f>SUM(AI13:AM19)</f>
        <v>0</v>
      </c>
      <c r="AJ20" s="1273"/>
      <c r="AK20" s="1273"/>
      <c r="AL20" s="1273"/>
      <c r="AM20" s="1273"/>
    </row>
    <row r="21" spans="1:39" ht="12.9" customHeight="1">
      <c r="B21" s="1061" t="s">
        <v>1711</v>
      </c>
      <c r="C21" s="1062"/>
      <c r="D21" s="1062"/>
      <c r="E21" s="1062"/>
      <c r="F21" s="1062"/>
      <c r="G21" s="1062"/>
      <c r="H21" s="1062"/>
      <c r="I21" s="1062"/>
      <c r="J21" s="1062"/>
      <c r="K21" s="1062"/>
      <c r="L21" s="1062"/>
      <c r="M21" s="1062"/>
      <c r="N21" s="1062"/>
      <c r="O21" s="1062"/>
      <c r="P21" s="1062"/>
      <c r="Q21" s="1062"/>
      <c r="R21" s="1062"/>
      <c r="S21" s="1063"/>
      <c r="T21" s="1086">
        <f>'Basis &amp; Credits'!E21</f>
        <v>0</v>
      </c>
      <c r="U21" s="1258"/>
      <c r="V21" s="1258"/>
      <c r="W21" s="1258"/>
      <c r="X21" s="1258"/>
      <c r="Y21" s="1086">
        <f>'Basis &amp; Credits'!J21</f>
        <v>0</v>
      </c>
      <c r="Z21" s="1258"/>
      <c r="AA21" s="1258"/>
      <c r="AB21" s="1258"/>
      <c r="AC21" s="1258"/>
      <c r="AD21" s="1258">
        <f>'Basis &amp; Credits'!O21</f>
        <v>0</v>
      </c>
      <c r="AE21" s="1258"/>
      <c r="AF21" s="1258"/>
      <c r="AG21" s="1258"/>
      <c r="AH21" s="1258"/>
      <c r="AI21" s="1258">
        <f>'Basis &amp; Credits'!T21</f>
        <v>16310891</v>
      </c>
      <c r="AJ21" s="1258"/>
      <c r="AK21" s="1258"/>
      <c r="AL21" s="1258"/>
      <c r="AM21" s="1258"/>
    </row>
    <row r="22" spans="1:39" ht="12.9" customHeight="1">
      <c r="B22" s="1061" t="s">
        <v>772</v>
      </c>
      <c r="C22" s="1062"/>
      <c r="D22" s="1062"/>
      <c r="E22" s="1062"/>
      <c r="F22" s="1062"/>
      <c r="G22" s="1062"/>
      <c r="H22" s="1062"/>
      <c r="I22" s="1062"/>
      <c r="J22" s="1062"/>
      <c r="K22" s="1062"/>
      <c r="L22" s="1062"/>
      <c r="M22" s="1062"/>
      <c r="N22" s="1062"/>
      <c r="O22" s="1062"/>
      <c r="P22" s="1062"/>
      <c r="Q22" s="1062"/>
      <c r="R22" s="1062"/>
      <c r="S22" s="1063"/>
      <c r="T22" s="1632">
        <f>(T20+T21)*-1</f>
        <v>0</v>
      </c>
      <c r="U22" s="1633"/>
      <c r="V22" s="1633"/>
      <c r="W22" s="1633"/>
      <c r="X22" s="1633"/>
      <c r="Y22" s="1632">
        <f>(Y20+Y21)*-1</f>
        <v>0</v>
      </c>
      <c r="Z22" s="1633"/>
      <c r="AA22" s="1633"/>
      <c r="AB22" s="1633"/>
      <c r="AC22" s="1633"/>
      <c r="AD22" s="1632">
        <f>(AD20+AD21)*-1</f>
        <v>0</v>
      </c>
      <c r="AE22" s="1633"/>
      <c r="AF22" s="1633"/>
      <c r="AG22" s="1633"/>
      <c r="AH22" s="1633"/>
      <c r="AI22" s="1632">
        <f>(AI20+AI21)*-1</f>
        <v>-16310891</v>
      </c>
      <c r="AJ22" s="1633"/>
      <c r="AK22" s="1633"/>
      <c r="AL22" s="1633"/>
      <c r="AM22" s="1633"/>
    </row>
    <row r="23" spans="1:39" ht="12.9" customHeight="1">
      <c r="B23" s="1061" t="s">
        <v>773</v>
      </c>
      <c r="C23" s="1062"/>
      <c r="D23" s="1062"/>
      <c r="E23" s="1062"/>
      <c r="F23" s="1062"/>
      <c r="G23" s="1062"/>
      <c r="H23" s="1062"/>
      <c r="I23" s="1062"/>
      <c r="J23" s="1062"/>
      <c r="K23" s="1062"/>
      <c r="L23" s="1062"/>
      <c r="M23" s="1062"/>
      <c r="N23" s="1062"/>
      <c r="O23" s="1062"/>
      <c r="P23" s="1062"/>
      <c r="Q23" s="1062"/>
      <c r="R23" s="1062"/>
      <c r="S23" s="1063"/>
      <c r="T23" s="1631">
        <f>T11+T22</f>
        <v>30953469</v>
      </c>
      <c r="U23" s="1273"/>
      <c r="V23" s="1273"/>
      <c r="W23" s="1273"/>
      <c r="X23" s="1273"/>
      <c r="Y23" s="1631">
        <f>Y11+Y22</f>
        <v>0</v>
      </c>
      <c r="Z23" s="1273"/>
      <c r="AA23" s="1273"/>
      <c r="AB23" s="1273"/>
      <c r="AC23" s="1273"/>
      <c r="AD23" s="1631">
        <f>AD11+AD22</f>
        <v>0</v>
      </c>
      <c r="AE23" s="1273"/>
      <c r="AF23" s="1273"/>
      <c r="AG23" s="1273"/>
      <c r="AH23" s="1273"/>
      <c r="AI23" s="1631">
        <f>AI11+AI22</f>
        <v>-16310891</v>
      </c>
      <c r="AJ23" s="1273"/>
      <c r="AK23" s="1273"/>
      <c r="AL23" s="1273"/>
      <c r="AM23" s="1273"/>
    </row>
    <row r="24" spans="1:39" ht="12.9" customHeight="1">
      <c r="B24" s="1061" t="s">
        <v>1218</v>
      </c>
      <c r="C24" s="1062"/>
      <c r="D24" s="1062"/>
      <c r="E24" s="1062"/>
      <c r="F24" s="1062"/>
      <c r="G24" s="1062"/>
      <c r="H24" s="1062"/>
      <c r="I24" s="1062"/>
      <c r="J24" s="1062"/>
      <c r="K24" s="1062"/>
      <c r="L24" s="1062"/>
      <c r="M24" s="1062"/>
      <c r="N24" s="1062"/>
      <c r="O24" s="1062"/>
      <c r="P24" s="1062"/>
      <c r="Q24" s="1062"/>
      <c r="R24" s="1062"/>
      <c r="S24" s="1063"/>
      <c r="T24" s="1629">
        <f>Application!AD1011</f>
        <v>0</v>
      </c>
      <c r="U24" s="1630"/>
      <c r="V24" s="1630"/>
      <c r="W24" s="1630"/>
      <c r="X24" s="1630"/>
      <c r="Y24" s="1630"/>
      <c r="Z24" s="1630"/>
      <c r="AA24" s="1630"/>
      <c r="AB24" s="1630"/>
      <c r="AC24" s="1630"/>
      <c r="AD24" s="1630"/>
      <c r="AE24" s="1630"/>
      <c r="AF24" s="1630"/>
      <c r="AG24" s="1630"/>
      <c r="AH24" s="1630"/>
      <c r="AI24" s="1630"/>
      <c r="AJ24" s="1630"/>
      <c r="AK24" s="1630"/>
      <c r="AL24" s="1630"/>
      <c r="AM24" s="1631"/>
    </row>
    <row r="25" spans="1:39" ht="12.9" customHeight="1">
      <c r="B25" s="1621" t="s">
        <v>1747</v>
      </c>
      <c r="C25" s="1622"/>
      <c r="D25" s="1622"/>
      <c r="E25" s="1622"/>
      <c r="F25" s="1622"/>
      <c r="G25" s="1622"/>
      <c r="H25" s="1622"/>
      <c r="I25" s="1622"/>
      <c r="J25" s="1622"/>
      <c r="K25" s="1622"/>
      <c r="L25" s="1622"/>
      <c r="M25" s="1622"/>
      <c r="N25" s="1622"/>
      <c r="O25" s="1622"/>
      <c r="P25" s="1622"/>
      <c r="Q25" s="1622"/>
      <c r="R25" s="1622"/>
      <c r="S25" s="1623"/>
      <c r="T25" s="1635">
        <v>1</v>
      </c>
      <c r="U25" s="1636"/>
      <c r="V25" s="1636"/>
      <c r="W25" s="1636"/>
      <c r="X25" s="1637"/>
      <c r="Y25" s="1635">
        <v>1</v>
      </c>
      <c r="Z25" s="1636"/>
      <c r="AA25" s="1636"/>
      <c r="AB25" s="1636"/>
      <c r="AC25" s="1637"/>
      <c r="AD25" s="1635">
        <v>1</v>
      </c>
      <c r="AE25" s="1636"/>
      <c r="AF25" s="1636"/>
      <c r="AG25" s="1636"/>
      <c r="AH25" s="1637"/>
      <c r="AI25" s="1635">
        <v>1</v>
      </c>
      <c r="AJ25" s="1636"/>
      <c r="AK25" s="1636"/>
      <c r="AL25" s="1636"/>
      <c r="AM25" s="1637"/>
    </row>
    <row r="26" spans="1:39" ht="12.9" customHeight="1">
      <c r="B26" s="1061" t="s">
        <v>774</v>
      </c>
      <c r="C26" s="1062"/>
      <c r="D26" s="1062"/>
      <c r="E26" s="1062"/>
      <c r="F26" s="1062"/>
      <c r="G26" s="1062"/>
      <c r="H26" s="1062"/>
      <c r="I26" s="1062"/>
      <c r="J26" s="1062"/>
      <c r="K26" s="1062"/>
      <c r="L26" s="1062"/>
      <c r="M26" s="1062"/>
      <c r="N26" s="1062"/>
      <c r="O26" s="1062"/>
      <c r="P26" s="1062"/>
      <c r="Q26" s="1062"/>
      <c r="R26" s="1062"/>
      <c r="S26" s="1063"/>
      <c r="T26" s="1072">
        <f>T23*T25</f>
        <v>30953469</v>
      </c>
      <c r="U26" s="1634"/>
      <c r="V26" s="1634"/>
      <c r="W26" s="1634"/>
      <c r="X26" s="1634"/>
      <c r="Y26" s="1072">
        <f>Y23*Y25</f>
        <v>0</v>
      </c>
      <c r="Z26" s="1634"/>
      <c r="AA26" s="1634"/>
      <c r="AB26" s="1634"/>
      <c r="AC26" s="1634"/>
      <c r="AD26" s="1072">
        <f>AD23*AD25</f>
        <v>0</v>
      </c>
      <c r="AE26" s="1634"/>
      <c r="AF26" s="1634"/>
      <c r="AG26" s="1634"/>
      <c r="AH26" s="1634"/>
      <c r="AI26" s="1072">
        <f>AI23*AI25</f>
        <v>-16310891</v>
      </c>
      <c r="AJ26" s="1634"/>
      <c r="AK26" s="1634"/>
      <c r="AL26" s="1634"/>
      <c r="AM26" s="1634"/>
    </row>
    <row r="27" spans="1:39" ht="12.9" customHeight="1">
      <c r="A27" s="4"/>
      <c r="B27" s="1624" t="s">
        <v>879</v>
      </c>
      <c r="C27" s="1625"/>
      <c r="D27" s="1625"/>
      <c r="E27" s="1625"/>
      <c r="F27" s="1625"/>
      <c r="G27" s="1625"/>
      <c r="H27" s="1625"/>
      <c r="I27" s="1625"/>
      <c r="J27" s="1625"/>
      <c r="K27" s="1625"/>
      <c r="L27" s="1625"/>
      <c r="M27" s="1625"/>
      <c r="N27" s="1625"/>
      <c r="O27" s="1625"/>
      <c r="P27" s="1625"/>
      <c r="Q27" s="1625"/>
      <c r="R27" s="1625"/>
      <c r="S27" s="1626"/>
      <c r="T27" s="1627">
        <f>Application!AG438</f>
        <v>1</v>
      </c>
      <c r="U27" s="1628"/>
      <c r="V27" s="1628"/>
      <c r="W27" s="1628"/>
      <c r="X27" s="1628"/>
      <c r="Y27" s="1627">
        <f>Application!AG438</f>
        <v>1</v>
      </c>
      <c r="Z27" s="1628"/>
      <c r="AA27" s="1628"/>
      <c r="AB27" s="1628"/>
      <c r="AC27" s="1628"/>
      <c r="AD27" s="1627">
        <f>Application!AG438</f>
        <v>1</v>
      </c>
      <c r="AE27" s="1628"/>
      <c r="AF27" s="1628"/>
      <c r="AG27" s="1628"/>
      <c r="AH27" s="1628"/>
      <c r="AI27" s="1627">
        <f>Application!AG438</f>
        <v>1</v>
      </c>
      <c r="AJ27" s="1628"/>
      <c r="AK27" s="1628"/>
      <c r="AL27" s="1628"/>
      <c r="AM27" s="1628"/>
    </row>
    <row r="28" spans="1:39" ht="12.9" customHeight="1">
      <c r="A28" s="3"/>
      <c r="B28" s="1061" t="s">
        <v>843</v>
      </c>
      <c r="C28" s="1062"/>
      <c r="D28" s="1062"/>
      <c r="E28" s="1062"/>
      <c r="F28" s="1062"/>
      <c r="G28" s="1062"/>
      <c r="H28" s="1062"/>
      <c r="I28" s="1062"/>
      <c r="J28" s="1062"/>
      <c r="K28" s="1062"/>
      <c r="L28" s="1062"/>
      <c r="M28" s="1062"/>
      <c r="N28" s="1062"/>
      <c r="O28" s="1062"/>
      <c r="P28" s="1062"/>
      <c r="Q28" s="1062"/>
      <c r="R28" s="1062"/>
      <c r="S28" s="1063"/>
      <c r="T28" s="1072">
        <f>IF(ISERROR((T26*T27)),0,(T26*T27))</f>
        <v>30953469</v>
      </c>
      <c r="U28" s="1634"/>
      <c r="V28" s="1634"/>
      <c r="W28" s="1634"/>
      <c r="X28" s="1634"/>
      <c r="Y28" s="1072">
        <f>IF(ISERROR((Y26*Y27)),0,(Y26*Y27))</f>
        <v>0</v>
      </c>
      <c r="Z28" s="1634"/>
      <c r="AA28" s="1634"/>
      <c r="AB28" s="1634"/>
      <c r="AC28" s="1634"/>
      <c r="AD28" s="1072">
        <f>IF(ISERROR((AD26*AD27)),0,(AD26*AD27))</f>
        <v>0</v>
      </c>
      <c r="AE28" s="1634"/>
      <c r="AF28" s="1634"/>
      <c r="AG28" s="1634"/>
      <c r="AH28" s="1634"/>
      <c r="AI28" s="1072">
        <f>IF(ISERROR((AI26*AI27)),0,(AI26*AI27))</f>
        <v>-16310891</v>
      </c>
      <c r="AJ28" s="1634"/>
      <c r="AK28" s="1634"/>
      <c r="AL28" s="1634"/>
      <c r="AM28" s="1634"/>
    </row>
    <row r="29" spans="1:39" ht="12.9" customHeight="1">
      <c r="B29" s="1061" t="s">
        <v>623</v>
      </c>
      <c r="C29" s="1062"/>
      <c r="D29" s="1062"/>
      <c r="E29" s="1062"/>
      <c r="F29" s="1062"/>
      <c r="G29" s="1062"/>
      <c r="H29" s="1062"/>
      <c r="I29" s="1062"/>
      <c r="J29" s="1062"/>
      <c r="K29" s="1062"/>
      <c r="L29" s="1062"/>
      <c r="M29" s="1062"/>
      <c r="N29" s="1062"/>
      <c r="O29" s="1062"/>
      <c r="P29" s="1062"/>
      <c r="Q29" s="1062"/>
      <c r="R29" s="1062"/>
      <c r="S29" s="1063"/>
      <c r="T29" s="1629">
        <f>T28+Y28+AD28+AI28</f>
        <v>14642578</v>
      </c>
      <c r="U29" s="1630"/>
      <c r="V29" s="1630"/>
      <c r="W29" s="1630"/>
      <c r="X29" s="1630"/>
      <c r="Y29" s="1630"/>
      <c r="Z29" s="1630"/>
      <c r="AA29" s="1630"/>
      <c r="AB29" s="1630"/>
      <c r="AC29" s="1630"/>
      <c r="AD29" s="1630"/>
      <c r="AE29" s="1630"/>
      <c r="AF29" s="1630"/>
      <c r="AG29" s="1630"/>
      <c r="AH29" s="1630"/>
      <c r="AI29" s="1630"/>
      <c r="AJ29" s="1630"/>
      <c r="AK29" s="1630"/>
      <c r="AL29" s="1630"/>
      <c r="AM29" s="1631"/>
    </row>
    <row r="30" spans="1:39" ht="12.9" customHeight="1">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38" t="s">
        <v>1605</v>
      </c>
      <c r="Z35" s="1638"/>
      <c r="AA35" s="1638"/>
      <c r="AB35" s="1638"/>
      <c r="AC35" s="1638"/>
      <c r="AD35" s="1520" t="s">
        <v>41</v>
      </c>
      <c r="AE35" s="1520"/>
      <c r="AF35" s="1520"/>
      <c r="AG35" s="1520"/>
      <c r="AH35" s="1520"/>
    </row>
    <row r="36" spans="1:40" ht="12.9" customHeight="1">
      <c r="B36" s="204"/>
      <c r="X36" s="71"/>
      <c r="Y36" s="1638"/>
      <c r="Z36" s="1638"/>
      <c r="AA36" s="1638"/>
      <c r="AB36" s="1638"/>
      <c r="AC36" s="1638"/>
      <c r="AD36" s="1520"/>
      <c r="AE36" s="1520"/>
      <c r="AF36" s="1520"/>
      <c r="AG36" s="1520"/>
      <c r="AH36" s="152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38"/>
      <c r="Z37" s="1638"/>
      <c r="AA37" s="1638"/>
      <c r="AB37" s="1638"/>
      <c r="AC37" s="1638"/>
      <c r="AD37" s="1520"/>
      <c r="AE37" s="1520"/>
      <c r="AF37" s="1520"/>
      <c r="AG37" s="1520"/>
      <c r="AH37" s="1520"/>
    </row>
    <row r="38" spans="1:40" ht="12.9" customHeight="1">
      <c r="A38" s="3"/>
      <c r="B38" s="1061" t="s">
        <v>843</v>
      </c>
      <c r="C38" s="1062"/>
      <c r="D38" s="1062"/>
      <c r="E38" s="1062"/>
      <c r="F38" s="1062"/>
      <c r="G38" s="1062"/>
      <c r="H38" s="1062"/>
      <c r="I38" s="1062"/>
      <c r="J38" s="1062"/>
      <c r="K38" s="1062"/>
      <c r="L38" s="1062"/>
      <c r="M38" s="1062"/>
      <c r="N38" s="1062"/>
      <c r="O38" s="1062"/>
      <c r="P38" s="1062"/>
      <c r="Q38" s="1062"/>
      <c r="R38" s="1062"/>
      <c r="S38" s="1062"/>
      <c r="T38" s="1062"/>
      <c r="U38" s="1062"/>
      <c r="V38" s="1062"/>
      <c r="W38" s="1062"/>
      <c r="X38" s="1063"/>
      <c r="Y38" s="1273">
        <f>IF(T24&gt;=(T23+Y23+AD23+AI23),T28+Y28,0)</f>
        <v>0</v>
      </c>
      <c r="Z38" s="1273"/>
      <c r="AA38" s="1273"/>
      <c r="AB38" s="1273"/>
      <c r="AC38" s="1273"/>
      <c r="AD38" s="1273">
        <f>IF(T24&gt;=(T23+Y23+AD23+AI23),AD28+AI28,0)</f>
        <v>0</v>
      </c>
      <c r="AE38" s="1273"/>
      <c r="AF38" s="1273"/>
      <c r="AG38" s="1273"/>
      <c r="AH38" s="1273"/>
    </row>
    <row r="39" spans="1:40" ht="12.9" customHeight="1">
      <c r="B39" s="1061" t="s">
        <v>765</v>
      </c>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3"/>
      <c r="Y39" s="1989">
        <v>0.09</v>
      </c>
      <c r="Z39" s="1989"/>
      <c r="AA39" s="1989"/>
      <c r="AB39" s="1989"/>
      <c r="AC39" s="1989"/>
      <c r="AD39" s="1669">
        <v>0.04</v>
      </c>
      <c r="AE39" s="1669"/>
      <c r="AF39" s="1669"/>
      <c r="AG39" s="1669"/>
      <c r="AH39" s="1669"/>
    </row>
    <row r="40" spans="1:40" ht="12.9" customHeight="1">
      <c r="A40" s="3"/>
      <c r="B40" s="1061" t="s">
        <v>23</v>
      </c>
      <c r="C40" s="1062"/>
      <c r="D40" s="1062"/>
      <c r="E40" s="1062"/>
      <c r="F40" s="1062"/>
      <c r="G40" s="1062"/>
      <c r="H40" s="1062"/>
      <c r="I40" s="1062"/>
      <c r="J40" s="1062"/>
      <c r="K40" s="1062"/>
      <c r="L40" s="1062"/>
      <c r="M40" s="1062"/>
      <c r="N40" s="1062"/>
      <c r="O40" s="1062"/>
      <c r="P40" s="1062"/>
      <c r="Q40" s="1062"/>
      <c r="R40" s="1062"/>
      <c r="S40" s="1062"/>
      <c r="T40" s="1062"/>
      <c r="U40" s="1062"/>
      <c r="V40" s="1062"/>
      <c r="W40" s="1062"/>
      <c r="X40" s="1063"/>
      <c r="Y40" s="1273">
        <f>ROUND(Y38*Y39,0)</f>
        <v>0</v>
      </c>
      <c r="Z40" s="1273"/>
      <c r="AA40" s="1273"/>
      <c r="AB40" s="1273"/>
      <c r="AC40" s="1273"/>
      <c r="AD40" s="1631">
        <f>ROUND(AD38*AD39,0)</f>
        <v>0</v>
      </c>
      <c r="AE40" s="1273"/>
      <c r="AF40" s="1273"/>
      <c r="AG40" s="1273"/>
      <c r="AH40" s="1273"/>
    </row>
    <row r="41" spans="1:40" ht="12.9" customHeight="1">
      <c r="B41" s="1061" t="s">
        <v>617</v>
      </c>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3"/>
      <c r="Y41" s="1629">
        <f>IF((Y40+AD40)&gt;2500000,2500000,Y40+AD40)</f>
        <v>0</v>
      </c>
      <c r="Z41" s="1630"/>
      <c r="AA41" s="1630"/>
      <c r="AB41" s="1630"/>
      <c r="AC41" s="1630"/>
      <c r="AD41" s="1630"/>
      <c r="AE41" s="1630"/>
      <c r="AF41" s="1630"/>
      <c r="AG41" s="1630"/>
      <c r="AH41" s="1631"/>
    </row>
    <row r="42" spans="1:40" ht="12.9" customHeight="1">
      <c r="A42" s="3"/>
      <c r="B42" s="1663" t="s">
        <v>1162</v>
      </c>
      <c r="C42" s="1663"/>
      <c r="D42" s="1663"/>
      <c r="E42" s="1663"/>
      <c r="F42" s="1663"/>
      <c r="G42" s="1663"/>
      <c r="H42" s="1663"/>
      <c r="I42" s="1663"/>
      <c r="J42" s="1663"/>
      <c r="K42" s="1663"/>
      <c r="L42" s="1663"/>
      <c r="M42" s="1663"/>
      <c r="N42" s="1663"/>
      <c r="O42" s="1663"/>
      <c r="P42" s="1663"/>
      <c r="Q42" s="1663"/>
      <c r="R42" s="1663"/>
      <c r="S42" s="1663"/>
      <c r="T42" s="1663"/>
      <c r="U42" s="1663"/>
      <c r="V42" s="1663"/>
      <c r="W42" s="1663"/>
      <c r="X42" s="1663"/>
      <c r="Y42" s="1663"/>
      <c r="Z42" s="1663"/>
      <c r="AA42" s="1663"/>
      <c r="AB42" s="1663"/>
      <c r="AC42" s="1663"/>
      <c r="AD42" s="1663"/>
      <c r="AE42" s="1663"/>
      <c r="AF42" s="1663"/>
      <c r="AG42" s="1663"/>
      <c r="AH42" s="166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077">
        <f>'Sources and Uses Budget'!B104-'Sources and Uses Budget'!$B$15</f>
        <v>31965267</v>
      </c>
      <c r="AC46" s="1078"/>
      <c r="AD46" s="1078"/>
      <c r="AE46" s="1078"/>
      <c r="AF46" s="1079"/>
    </row>
    <row r="47" spans="1:40" ht="12.9" customHeight="1">
      <c r="D47" s="3" t="s">
        <v>837</v>
      </c>
      <c r="AB47" s="1077">
        <f>Application!AG633-MIN('Sources and Uses Budget'!B15,Application!AG385)</f>
        <v>0</v>
      </c>
      <c r="AC47" s="1078"/>
      <c r="AD47" s="1078"/>
      <c r="AE47" s="1078"/>
      <c r="AF47" s="1079"/>
    </row>
    <row r="48" spans="1:40" ht="12.9" customHeight="1">
      <c r="D48" s="3" t="s">
        <v>378</v>
      </c>
      <c r="AB48" s="1077">
        <f>AB46-AB47</f>
        <v>31965267</v>
      </c>
      <c r="AC48" s="1078"/>
      <c r="AD48" s="1078"/>
      <c r="AE48" s="1078"/>
      <c r="AF48" s="1079"/>
    </row>
    <row r="49" spans="1:40" ht="12.9" customHeight="1">
      <c r="D49" s="3" t="s">
        <v>872</v>
      </c>
      <c r="AA49" s="34"/>
      <c r="AB49" s="1658"/>
      <c r="AC49" s="1659"/>
      <c r="AD49" s="1659"/>
      <c r="AE49" s="1659"/>
      <c r="AF49" s="1660"/>
    </row>
    <row r="50" spans="1:40" s="323" customFormat="1" ht="12.9" customHeight="1">
      <c r="A50"/>
      <c r="B50"/>
      <c r="C50"/>
      <c r="D50"/>
      <c r="E50" s="1664" t="s">
        <v>1353</v>
      </c>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354"/>
      <c r="AB50" s="354"/>
      <c r="AC50" s="354"/>
      <c r="AD50" s="354"/>
      <c r="AE50" s="354"/>
      <c r="AF50" s="354"/>
      <c r="AG50"/>
      <c r="AH50"/>
      <c r="AI50"/>
      <c r="AJ50"/>
      <c r="AK50"/>
      <c r="AL50"/>
      <c r="AM50"/>
      <c r="AN50"/>
    </row>
    <row r="51" spans="1:40" s="323" customFormat="1" ht="12.9" customHeight="1">
      <c r="A51"/>
      <c r="B51"/>
      <c r="C51"/>
      <c r="D51"/>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077">
        <f>ROUND(IF(ISERROR((AB48/AB49)),0,(AB48/AB49)),0)</f>
        <v>0</v>
      </c>
      <c r="AC53" s="1078"/>
      <c r="AD53" s="1078"/>
      <c r="AE53" s="1078"/>
      <c r="AF53" s="1079"/>
    </row>
    <row r="54" spans="1:40" ht="12.9" customHeight="1">
      <c r="D54" s="3" t="s">
        <v>561</v>
      </c>
      <c r="AB54" s="1077">
        <f>(AB53/10)</f>
        <v>0</v>
      </c>
      <c r="AC54" s="1078"/>
      <c r="AD54" s="1078"/>
      <c r="AE54" s="1078"/>
      <c r="AF54" s="1079"/>
    </row>
    <row r="55" spans="1:40" ht="12.9" customHeight="1">
      <c r="D55" s="3" t="s">
        <v>341</v>
      </c>
      <c r="AB55" s="1077">
        <f>(IF((Y41&lt;AB54),Y41,AB54))</f>
        <v>0</v>
      </c>
      <c r="AC55" s="1078"/>
      <c r="AD55" s="1078"/>
      <c r="AE55" s="1078"/>
      <c r="AF55" s="1079"/>
    </row>
    <row r="56" spans="1:40" ht="12.9" customHeight="1">
      <c r="D56" s="3" t="s">
        <v>107</v>
      </c>
      <c r="AB56" s="1077">
        <f>ROUND((10*AB55*AB49),0)</f>
        <v>0</v>
      </c>
      <c r="AC56" s="1078"/>
      <c r="AD56" s="1078"/>
      <c r="AE56" s="1078"/>
      <c r="AF56" s="1079"/>
    </row>
    <row r="57" spans="1:40" ht="12.9" customHeight="1">
      <c r="D57" s="3"/>
      <c r="AB57" s="276"/>
      <c r="AC57" s="276"/>
      <c r="AD57" s="276"/>
      <c r="AE57" s="276"/>
      <c r="AF57" s="276"/>
    </row>
    <row r="58" spans="1:40" ht="12.9" customHeight="1">
      <c r="D58" s="3" t="s">
        <v>106</v>
      </c>
      <c r="AB58" s="1282">
        <f>AB48-AB56</f>
        <v>31965267</v>
      </c>
      <c r="AC58" s="1282"/>
      <c r="AD58" s="1282"/>
      <c r="AE58" s="1282"/>
      <c r="AF58" s="128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67" t="s">
        <v>1750</v>
      </c>
      <c r="B60" s="1667"/>
      <c r="C60" s="1667"/>
      <c r="D60" s="1667"/>
      <c r="E60" s="1667"/>
      <c r="F60" s="1667"/>
      <c r="G60" s="1667"/>
      <c r="H60" s="1667"/>
      <c r="I60" s="1667"/>
      <c r="J60" s="1667"/>
      <c r="K60" s="1667"/>
      <c r="L60" s="1667"/>
      <c r="M60" s="1667"/>
      <c r="N60" s="1667"/>
      <c r="O60" s="1667"/>
      <c r="P60" s="1667"/>
      <c r="Q60" s="1667"/>
      <c r="R60" s="1667"/>
      <c r="S60" s="1667"/>
      <c r="T60" s="1667"/>
      <c r="U60" s="1667"/>
      <c r="V60" s="1667"/>
      <c r="W60" s="1667"/>
      <c r="X60" s="1667"/>
      <c r="Y60" s="1667"/>
      <c r="Z60" s="1667"/>
      <c r="AA60" s="1667"/>
      <c r="AB60" s="1667"/>
      <c r="AC60" s="1667"/>
      <c r="AD60" s="1667"/>
      <c r="AE60" s="1667"/>
      <c r="AF60" s="1667"/>
      <c r="AG60" s="1667"/>
      <c r="AH60" s="1667"/>
      <c r="AI60" s="1667"/>
      <c r="AJ60" s="1667"/>
      <c r="AK60" s="1667"/>
      <c r="AL60" s="1667"/>
      <c r="AM60" s="1667"/>
      <c r="AN60" s="1667"/>
    </row>
    <row r="61" spans="1:40" ht="12.9" customHeight="1" thickTop="1">
      <c r="A61" s="1567"/>
      <c r="B61" s="1567"/>
      <c r="C61" s="1567"/>
      <c r="D61" s="1567"/>
      <c r="E61" s="1567"/>
      <c r="F61" s="1567"/>
      <c r="G61" s="1567"/>
      <c r="H61" s="1567"/>
      <c r="I61" s="1567"/>
      <c r="J61" s="1567"/>
      <c r="K61" s="1567"/>
      <c r="L61" s="156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row>
    <row r="62" spans="1:40" ht="12.9" customHeight="1">
      <c r="A62" s="3" t="s">
        <v>122</v>
      </c>
      <c r="C62" s="3" t="s">
        <v>509</v>
      </c>
      <c r="Y62" s="1245" t="s">
        <v>298</v>
      </c>
      <c r="Z62" s="1245"/>
      <c r="AA62" s="1245"/>
      <c r="AB62" s="1245"/>
      <c r="AC62" s="1245"/>
      <c r="AD62" s="1245" t="s">
        <v>41</v>
      </c>
      <c r="AE62" s="1245"/>
      <c r="AF62" s="1245"/>
      <c r="AG62" s="1245"/>
      <c r="AH62" s="1245"/>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73">
        <f>Y28</f>
        <v>0</v>
      </c>
      <c r="Z63" s="1661"/>
      <c r="AA63" s="1661"/>
      <c r="AB63" s="1661"/>
      <c r="AC63" s="1661"/>
      <c r="AD63" s="1273">
        <f>AI28</f>
        <v>-16310891</v>
      </c>
      <c r="AE63" s="1661"/>
      <c r="AF63" s="1661"/>
      <c r="AG63" s="1661"/>
      <c r="AH63" s="1661"/>
    </row>
    <row r="64" spans="1:40" ht="12.9" customHeight="1">
      <c r="C64" s="3"/>
      <c r="E64" s="1668" t="s">
        <v>1289</v>
      </c>
      <c r="F64" s="1668"/>
      <c r="G64" s="1668"/>
      <c r="H64" s="1668"/>
      <c r="I64" s="1668"/>
      <c r="J64" s="1668"/>
      <c r="K64" s="1668"/>
      <c r="L64" s="1668"/>
      <c r="M64" s="1668"/>
      <c r="N64" s="1668"/>
      <c r="O64" s="1668"/>
      <c r="P64" s="1668"/>
      <c r="Q64" s="1668"/>
      <c r="R64" s="1668"/>
      <c r="S64" s="1668"/>
      <c r="T64" s="1668"/>
      <c r="U64" s="1668"/>
      <c r="V64" s="1668"/>
      <c r="W64" s="1668"/>
      <c r="X64" s="1668"/>
      <c r="Y64" s="1668"/>
      <c r="Z64" s="1668"/>
      <c r="AA64" s="1668"/>
      <c r="AB64" s="1668"/>
      <c r="AC64" s="1668"/>
      <c r="AD64" s="1668"/>
      <c r="AE64" s="1668"/>
      <c r="AF64" s="1668"/>
      <c r="AG64" s="1668"/>
      <c r="AH64" s="1668"/>
    </row>
    <row r="65" spans="1:34" ht="32.25" customHeight="1">
      <c r="C65" s="3"/>
      <c r="E65" s="1668"/>
      <c r="F65" s="1668"/>
      <c r="G65" s="1668"/>
      <c r="H65" s="1668"/>
      <c r="I65" s="1668"/>
      <c r="J65" s="1668"/>
      <c r="K65" s="1668"/>
      <c r="L65" s="1668"/>
      <c r="M65" s="1668"/>
      <c r="N65" s="1668"/>
      <c r="O65" s="1668"/>
      <c r="P65" s="1668"/>
      <c r="Q65" s="1668"/>
      <c r="R65" s="1668"/>
      <c r="S65" s="1668"/>
      <c r="T65" s="1668"/>
      <c r="U65" s="1668"/>
      <c r="V65" s="1668"/>
      <c r="W65" s="1668"/>
      <c r="X65" s="1668"/>
      <c r="Y65" s="1668"/>
      <c r="Z65" s="1668"/>
      <c r="AA65" s="1668"/>
      <c r="AB65" s="1668"/>
      <c r="AC65" s="1668"/>
      <c r="AD65" s="1668"/>
      <c r="AE65" s="1668"/>
      <c r="AF65" s="1668"/>
      <c r="AG65" s="1668"/>
      <c r="AH65" s="166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57">
        <v>0.3</v>
      </c>
      <c r="Z66" s="1657"/>
      <c r="AA66" s="1657"/>
      <c r="AB66" s="1657"/>
      <c r="AC66" s="1657"/>
      <c r="AD66" s="1657">
        <v>0.13</v>
      </c>
      <c r="AE66" s="1657"/>
      <c r="AF66" s="1657"/>
      <c r="AG66" s="1657"/>
      <c r="AH66" s="1657"/>
    </row>
    <row r="67" spans="1:34" ht="12.9" customHeight="1">
      <c r="C67" s="3"/>
      <c r="D67" s="3" t="s">
        <v>941</v>
      </c>
      <c r="Y67" s="1273">
        <f>ROUND(Y63*Y66,0)</f>
        <v>0</v>
      </c>
      <c r="Z67" s="1661"/>
      <c r="AA67" s="1661"/>
      <c r="AB67" s="1661"/>
      <c r="AC67" s="1661"/>
      <c r="AD67" s="1273" t="str">
        <f>IF(OR(Application!D211="At-Risk",Application!D211="At-Risk/Located in Rural Census Tract",Application!D214="At-Risk"),ROUND(AD63*AD66,0),"$0")</f>
        <v>$0</v>
      </c>
      <c r="AE67" s="1273"/>
      <c r="AF67" s="1273"/>
      <c r="AG67" s="1273"/>
      <c r="AH67" s="1273"/>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58"/>
      <c r="AC70" s="1659"/>
      <c r="AD70" s="1659"/>
      <c r="AE70" s="1659"/>
      <c r="AF70" s="1660"/>
    </row>
    <row r="71" spans="1:34" ht="12.9" customHeight="1">
      <c r="A71" s="3"/>
      <c r="C71" s="3"/>
      <c r="D71" s="3"/>
      <c r="E71" s="1662" t="s">
        <v>1745</v>
      </c>
      <c r="F71" s="1662"/>
      <c r="G71" s="1662"/>
      <c r="H71" s="1662"/>
      <c r="I71" s="1662"/>
      <c r="J71" s="1662"/>
      <c r="K71" s="1662"/>
      <c r="L71" s="1662"/>
      <c r="M71" s="1662"/>
      <c r="N71" s="1662"/>
      <c r="O71" s="1662"/>
      <c r="P71" s="1662"/>
      <c r="Q71" s="1662"/>
      <c r="R71" s="1662"/>
      <c r="S71" s="1662"/>
      <c r="T71" s="1662"/>
      <c r="U71" s="1662"/>
      <c r="V71" s="1662"/>
      <c r="W71" s="1662"/>
      <c r="X71" s="1662"/>
      <c r="Y71" s="1662"/>
      <c r="Z71" s="1662"/>
      <c r="AA71" s="253"/>
      <c r="AB71" s="253"/>
      <c r="AC71" s="253"/>
    </row>
    <row r="72" spans="1:34" ht="12.9" customHeight="1">
      <c r="A72" s="3"/>
      <c r="C72" s="3"/>
      <c r="D72" s="3"/>
      <c r="E72" s="1662"/>
      <c r="F72" s="1662"/>
      <c r="G72" s="1662"/>
      <c r="H72" s="1662"/>
      <c r="I72" s="1662"/>
      <c r="J72" s="1662"/>
      <c r="K72" s="1662"/>
      <c r="L72" s="1662"/>
      <c r="M72" s="1662"/>
      <c r="N72" s="1662"/>
      <c r="O72" s="1662"/>
      <c r="P72" s="1662"/>
      <c r="Q72" s="1662"/>
      <c r="R72" s="1662"/>
      <c r="S72" s="1662"/>
      <c r="T72" s="1662"/>
      <c r="U72" s="1662"/>
      <c r="V72" s="1662"/>
      <c r="W72" s="1662"/>
      <c r="X72" s="1662"/>
      <c r="Y72" s="1662"/>
      <c r="Z72" s="1662"/>
      <c r="AA72" s="253"/>
      <c r="AB72" s="253"/>
      <c r="AC72" s="253"/>
    </row>
    <row r="73" spans="1:34" ht="12.9" customHeight="1">
      <c r="A73" s="3"/>
      <c r="C73" s="3"/>
      <c r="D73" s="3"/>
      <c r="E73" s="1662"/>
      <c r="F73" s="1662"/>
      <c r="G73" s="1662"/>
      <c r="H73" s="1662"/>
      <c r="I73" s="1662"/>
      <c r="J73" s="1662"/>
      <c r="K73" s="1662"/>
      <c r="L73" s="1662"/>
      <c r="M73" s="1662"/>
      <c r="N73" s="1662"/>
      <c r="O73" s="1662"/>
      <c r="P73" s="1662"/>
      <c r="Q73" s="1662"/>
      <c r="R73" s="1662"/>
      <c r="S73" s="1662"/>
      <c r="T73" s="1662"/>
      <c r="U73" s="1662"/>
      <c r="V73" s="1662"/>
      <c r="W73" s="1662"/>
      <c r="X73" s="1662"/>
      <c r="Y73" s="1662"/>
      <c r="Z73" s="166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39">
        <f>ROUND(IF(ISERROR((AB58/AB70)),0,(AB58/AB70)),0)</f>
        <v>0</v>
      </c>
      <c r="AC75" s="1539"/>
      <c r="AD75" s="1539"/>
      <c r="AE75" s="1539"/>
      <c r="AF75" s="1539"/>
    </row>
    <row r="76" spans="1:34" ht="12.9" customHeight="1">
      <c r="C76" s="3"/>
      <c r="D76" s="3" t="s">
        <v>105</v>
      </c>
      <c r="AB76" s="1579">
        <f>IF((Y67+AD67&lt;AB75),Y67+AD67,AB75)</f>
        <v>0</v>
      </c>
      <c r="AC76" s="1580"/>
      <c r="AD76" s="1580"/>
      <c r="AE76" s="1580"/>
      <c r="AF76" s="1581"/>
    </row>
    <row r="77" spans="1:34" ht="12.9" customHeight="1">
      <c r="C77" s="3"/>
      <c r="D77" s="3" t="s">
        <v>942</v>
      </c>
      <c r="AB77" s="1656">
        <f>AB76*AB70</f>
        <v>0</v>
      </c>
      <c r="AC77" s="1656"/>
      <c r="AD77" s="1656"/>
      <c r="AE77" s="1656"/>
      <c r="AF77" s="1656"/>
    </row>
    <row r="78" spans="1:34" ht="12.9" customHeight="1">
      <c r="C78" s="3"/>
      <c r="D78" s="3"/>
      <c r="AB78" s="598"/>
      <c r="AC78" s="598"/>
      <c r="AD78" s="598"/>
      <c r="AE78" s="598"/>
      <c r="AF78" s="598"/>
    </row>
    <row r="79" spans="1:34" ht="12.9" customHeight="1">
      <c r="D79" s="3" t="s">
        <v>106</v>
      </c>
      <c r="AB79" s="1282">
        <f>AB48-(AB56+AB77)</f>
        <v>31965267</v>
      </c>
      <c r="AC79" s="1282"/>
      <c r="AD79" s="1282"/>
      <c r="AE79" s="1282"/>
      <c r="AF79" s="1282"/>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52" t="s">
        <v>1354</v>
      </c>
      <c r="B1" s="1653"/>
      <c r="C1" s="1653"/>
      <c r="D1" s="1653"/>
      <c r="E1" s="1653"/>
      <c r="F1" s="1653"/>
      <c r="G1" s="1653"/>
      <c r="H1" s="1653"/>
      <c r="I1" s="1653"/>
      <c r="J1" s="1653"/>
      <c r="K1" s="1653"/>
      <c r="L1" s="1653"/>
      <c r="M1" s="1653"/>
      <c r="N1" s="1653"/>
      <c r="O1" s="1653"/>
      <c r="P1" s="1653"/>
      <c r="Q1" s="1653"/>
      <c r="R1" s="1653"/>
      <c r="S1" s="1653"/>
      <c r="T1" s="1653"/>
      <c r="U1" s="1653"/>
      <c r="V1" s="1653"/>
      <c r="W1" s="1653"/>
      <c r="X1" s="1653"/>
      <c r="Y1" s="1653"/>
      <c r="Z1" s="1653"/>
      <c r="AA1" s="1653"/>
      <c r="AB1" s="1653"/>
      <c r="AC1" s="1653"/>
      <c r="AD1" s="1653"/>
      <c r="AE1" s="1653"/>
      <c r="AF1" s="1653"/>
      <c r="AG1" s="1653"/>
      <c r="AH1" s="1653"/>
      <c r="AI1" s="1653"/>
      <c r="AJ1" s="1653"/>
      <c r="AK1" s="1653"/>
      <c r="AL1" s="1653"/>
      <c r="AM1" s="1653"/>
      <c r="AN1" s="1653"/>
    </row>
    <row r="2" spans="1:40" ht="12.9" customHeight="1" thickBot="1">
      <c r="A2" s="1654"/>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38" t="s">
        <v>1606</v>
      </c>
      <c r="U7" s="1638"/>
      <c r="V7" s="1638"/>
      <c r="W7" s="1638"/>
      <c r="X7" s="1638"/>
      <c r="Y7" s="1638" t="s">
        <v>1748</v>
      </c>
      <c r="Z7" s="1638"/>
      <c r="AA7" s="1638"/>
      <c r="AB7" s="1638"/>
      <c r="AC7" s="1638"/>
      <c r="AD7" s="1638" t="s">
        <v>1360</v>
      </c>
      <c r="AE7" s="1638"/>
      <c r="AF7" s="1638"/>
      <c r="AG7" s="1638"/>
      <c r="AH7" s="1638"/>
      <c r="AI7" s="1638" t="s">
        <v>1749</v>
      </c>
      <c r="AJ7" s="1638"/>
      <c r="AK7" s="1638"/>
      <c r="AL7" s="1638"/>
      <c r="AM7" s="1638"/>
    </row>
    <row r="8" spans="1:40" ht="12.9" customHeight="1">
      <c r="B8" s="204"/>
      <c r="T8" s="1638"/>
      <c r="U8" s="1638"/>
      <c r="V8" s="1638"/>
      <c r="W8" s="1638"/>
      <c r="X8" s="1638"/>
      <c r="Y8" s="1638"/>
      <c r="Z8" s="1638"/>
      <c r="AA8" s="1638"/>
      <c r="AB8" s="1638"/>
      <c r="AC8" s="1638"/>
      <c r="AD8" s="1638"/>
      <c r="AE8" s="1638"/>
      <c r="AF8" s="1638"/>
      <c r="AG8" s="1638"/>
      <c r="AH8" s="1638"/>
      <c r="AI8" s="1638"/>
      <c r="AJ8" s="1638"/>
      <c r="AK8" s="1638"/>
      <c r="AL8" s="1638"/>
      <c r="AM8" s="1638"/>
    </row>
    <row r="9" spans="1:40" ht="12.9" customHeight="1">
      <c r="B9" s="204"/>
      <c r="T9" s="1638"/>
      <c r="U9" s="1638"/>
      <c r="V9" s="1638"/>
      <c r="W9" s="1638"/>
      <c r="X9" s="1638"/>
      <c r="Y9" s="1638"/>
      <c r="Z9" s="1638"/>
      <c r="AA9" s="1638"/>
      <c r="AB9" s="1638"/>
      <c r="AC9" s="1638"/>
      <c r="AD9" s="1638"/>
      <c r="AE9" s="1638"/>
      <c r="AF9" s="1638"/>
      <c r="AG9" s="1638"/>
      <c r="AH9" s="1638"/>
      <c r="AI9" s="1638"/>
      <c r="AJ9" s="1638"/>
      <c r="AK9" s="1638"/>
      <c r="AL9" s="1638"/>
      <c r="AM9" s="1638"/>
    </row>
    <row r="10" spans="1:40" ht="40.5" customHeight="1">
      <c r="B10" s="53"/>
      <c r="C10" s="54"/>
      <c r="D10" s="54"/>
      <c r="E10" s="54"/>
      <c r="F10" s="54"/>
      <c r="G10" s="54"/>
      <c r="H10" s="54"/>
      <c r="I10" s="54"/>
      <c r="J10" s="54"/>
      <c r="K10" s="54"/>
      <c r="L10" s="54"/>
      <c r="M10" s="54"/>
      <c r="N10" s="54"/>
      <c r="O10" s="54"/>
      <c r="P10" s="54"/>
      <c r="Q10" s="54"/>
      <c r="R10" s="54"/>
      <c r="S10" s="54"/>
      <c r="T10" s="1638"/>
      <c r="U10" s="1638"/>
      <c r="V10" s="1638"/>
      <c r="W10" s="1638"/>
      <c r="X10" s="1638"/>
      <c r="Y10" s="1638"/>
      <c r="Z10" s="1638"/>
      <c r="AA10" s="1638"/>
      <c r="AB10" s="1638"/>
      <c r="AC10" s="1638"/>
      <c r="AD10" s="1638"/>
      <c r="AE10" s="1638"/>
      <c r="AF10" s="1638"/>
      <c r="AG10" s="1638"/>
      <c r="AH10" s="1638"/>
      <c r="AI10" s="1638"/>
      <c r="AJ10" s="1638"/>
      <c r="AK10" s="1638"/>
      <c r="AL10" s="1638"/>
      <c r="AM10" s="1638"/>
    </row>
    <row r="11" spans="1:40" ht="12.9" customHeight="1">
      <c r="B11" s="1061" t="s">
        <v>508</v>
      </c>
      <c r="C11" s="1062"/>
      <c r="D11" s="1062"/>
      <c r="E11" s="1062"/>
      <c r="F11" s="1062"/>
      <c r="G11" s="1062"/>
      <c r="H11" s="1062"/>
      <c r="I11" s="1062"/>
      <c r="J11" s="1062"/>
      <c r="K11" s="1062"/>
      <c r="L11" s="1062"/>
      <c r="M11" s="1062"/>
      <c r="N11" s="1062"/>
      <c r="O11" s="1062"/>
      <c r="P11" s="1062"/>
      <c r="Q11" s="1062"/>
      <c r="R11" s="1062"/>
      <c r="S11" s="1063"/>
      <c r="T11" s="1646">
        <f>IF('Sources and Basis Breakdown'!F105=0,'Sources and Basis Breakdown'!E105,'Sources and Basis Breakdown'!F105)</f>
        <v>30953469</v>
      </c>
      <c r="U11" s="1639"/>
      <c r="V11" s="1639"/>
      <c r="W11" s="1639"/>
      <c r="X11" s="1639"/>
      <c r="Y11" s="1655">
        <f>IF('Sources and Basis Breakdown'!G105+'Sources and Basis Breakdown'!F105='Sources and Basis Breakdown'!E105,'Sources and Basis Breakdown'!G105,0)</f>
        <v>0</v>
      </c>
      <c r="Z11" s="1639"/>
      <c r="AA11" s="1639"/>
      <c r="AB11" s="1639"/>
      <c r="AC11" s="1639"/>
      <c r="AD11" s="1639">
        <f>IF('Sources and Basis Breakdown'!I105=0,'Sources and Basis Breakdown'!H105,'Sources and Basis Breakdown'!I105)</f>
        <v>0</v>
      </c>
      <c r="AE11" s="1639"/>
      <c r="AF11" s="1639"/>
      <c r="AG11" s="1639"/>
      <c r="AH11" s="1639"/>
      <c r="AI11" s="1639">
        <f>IF('Sources and Basis Breakdown'!I105+'Sources and Basis Breakdown'!J105='Sources and Basis Breakdown'!H105,'Sources and Basis Breakdown'!J105,0)</f>
        <v>0</v>
      </c>
      <c r="AJ11" s="1639"/>
      <c r="AK11" s="1639"/>
      <c r="AL11" s="1639"/>
      <c r="AM11" s="1639"/>
    </row>
    <row r="12" spans="1:40" ht="12.9" customHeight="1">
      <c r="B12" s="1640" t="s">
        <v>447</v>
      </c>
      <c r="C12" s="1031"/>
      <c r="D12" s="1031"/>
      <c r="E12" s="1031"/>
      <c r="F12" s="1031"/>
      <c r="G12" s="1031"/>
      <c r="H12" s="1031"/>
      <c r="I12" s="1031"/>
      <c r="J12" s="1031"/>
      <c r="K12" s="1031"/>
      <c r="L12" s="1031"/>
      <c r="M12" s="1031"/>
      <c r="N12" s="1031"/>
      <c r="O12" s="1031"/>
      <c r="P12" s="1031"/>
      <c r="Q12" s="1031"/>
      <c r="R12" s="1031"/>
      <c r="S12" s="1641"/>
      <c r="T12" s="1649"/>
      <c r="U12" s="1650"/>
      <c r="V12" s="1650"/>
      <c r="W12" s="1650"/>
      <c r="X12" s="1651"/>
      <c r="Y12" s="1649"/>
      <c r="Z12" s="1650"/>
      <c r="AA12" s="1650"/>
      <c r="AB12" s="1650"/>
      <c r="AC12" s="1651"/>
      <c r="AD12" s="1649"/>
      <c r="AE12" s="1650"/>
      <c r="AF12" s="1650"/>
      <c r="AG12" s="1650"/>
      <c r="AH12" s="1651"/>
      <c r="AI12" s="1649"/>
      <c r="AJ12" s="1650"/>
      <c r="AK12" s="1650"/>
      <c r="AL12" s="1650"/>
      <c r="AM12" s="1651"/>
    </row>
    <row r="13" spans="1:40" ht="12.9" customHeight="1">
      <c r="B13" s="8"/>
      <c r="C13" s="1642" t="s">
        <v>1712</v>
      </c>
      <c r="D13" s="1643"/>
      <c r="E13" s="1643"/>
      <c r="F13" s="1643"/>
      <c r="G13" s="1643"/>
      <c r="H13" s="1643"/>
      <c r="I13" s="1643"/>
      <c r="J13" s="1643"/>
      <c r="K13" s="1643"/>
      <c r="L13" s="1643"/>
      <c r="M13" s="1643"/>
      <c r="N13" s="1643"/>
      <c r="O13" s="1643"/>
      <c r="P13" s="1643"/>
      <c r="Q13" s="1643"/>
      <c r="R13" s="1643"/>
      <c r="S13" s="1644"/>
      <c r="T13" s="1647">
        <f>'Basis &amp; Credits'!T13</f>
        <v>0</v>
      </c>
      <c r="U13" s="1648"/>
      <c r="V13" s="1648"/>
      <c r="W13" s="1648"/>
      <c r="X13" s="1648"/>
      <c r="Y13" s="1647">
        <f>'Basis &amp; Credits'!Y13</f>
        <v>0</v>
      </c>
      <c r="Z13" s="1648"/>
      <c r="AA13" s="1648"/>
      <c r="AB13" s="1648"/>
      <c r="AC13" s="1648"/>
      <c r="AD13" s="1648">
        <f>'Basis &amp; Credits'!AD13</f>
        <v>0</v>
      </c>
      <c r="AE13" s="1648"/>
      <c r="AF13" s="1648"/>
      <c r="AG13" s="1648"/>
      <c r="AH13" s="1648"/>
      <c r="AI13" s="1648">
        <f>'Basis &amp; Credits'!AI13</f>
        <v>0</v>
      </c>
      <c r="AJ13" s="1648"/>
      <c r="AK13" s="1648"/>
      <c r="AL13" s="1648"/>
      <c r="AM13" s="1648"/>
    </row>
    <row r="14" spans="1:40" ht="12.9" customHeight="1">
      <c r="B14" s="8"/>
      <c r="C14" s="1643" t="s">
        <v>768</v>
      </c>
      <c r="D14" s="1643"/>
      <c r="E14" s="1643"/>
      <c r="F14" s="1643"/>
      <c r="G14" s="1643"/>
      <c r="H14" s="1643"/>
      <c r="I14" s="1643"/>
      <c r="J14" s="1643"/>
      <c r="K14" s="1643"/>
      <c r="L14" s="1643"/>
      <c r="M14" s="1643"/>
      <c r="N14" s="1643"/>
      <c r="O14" s="1643"/>
      <c r="P14" s="1643"/>
      <c r="Q14" s="1643"/>
      <c r="R14" s="1643"/>
      <c r="S14" s="1644"/>
      <c r="T14" s="1086">
        <f>'Basis &amp; Credits'!T14</f>
        <v>0</v>
      </c>
      <c r="U14" s="1258"/>
      <c r="V14" s="1258"/>
      <c r="W14" s="1258"/>
      <c r="X14" s="1258"/>
      <c r="Y14" s="1086">
        <f>'Basis &amp; Credits'!Y14</f>
        <v>0</v>
      </c>
      <c r="Z14" s="1258"/>
      <c r="AA14" s="1258"/>
      <c r="AB14" s="1258"/>
      <c r="AC14" s="1258"/>
      <c r="AD14" s="1258">
        <f>'Basis &amp; Credits'!AD14</f>
        <v>0</v>
      </c>
      <c r="AE14" s="1258"/>
      <c r="AF14" s="1258"/>
      <c r="AG14" s="1258"/>
      <c r="AH14" s="1258"/>
      <c r="AI14" s="1258">
        <f>'Basis &amp; Credits'!AI14</f>
        <v>0</v>
      </c>
      <c r="AJ14" s="1258"/>
      <c r="AK14" s="1258"/>
      <c r="AL14" s="1258"/>
      <c r="AM14" s="1258"/>
    </row>
    <row r="15" spans="1:40" ht="12.9" customHeight="1">
      <c r="B15" s="8"/>
      <c r="C15" s="1643" t="s">
        <v>769</v>
      </c>
      <c r="D15" s="1643"/>
      <c r="E15" s="1643"/>
      <c r="F15" s="1643"/>
      <c r="G15" s="1643"/>
      <c r="H15" s="1643"/>
      <c r="I15" s="1643"/>
      <c r="J15" s="1643"/>
      <c r="K15" s="1643"/>
      <c r="L15" s="1643"/>
      <c r="M15" s="1643"/>
      <c r="N15" s="1643"/>
      <c r="O15" s="1643"/>
      <c r="P15" s="1643"/>
      <c r="Q15" s="1643"/>
      <c r="R15" s="1643"/>
      <c r="S15" s="1644"/>
      <c r="T15" s="1086">
        <f>'Basis &amp; Credits'!T15</f>
        <v>0</v>
      </c>
      <c r="U15" s="1258"/>
      <c r="V15" s="1258"/>
      <c r="W15" s="1258"/>
      <c r="X15" s="1258"/>
      <c r="Y15" s="1086">
        <f>'Basis &amp; Credits'!Y15</f>
        <v>0</v>
      </c>
      <c r="Z15" s="1258"/>
      <c r="AA15" s="1258"/>
      <c r="AB15" s="1258"/>
      <c r="AC15" s="1258"/>
      <c r="AD15" s="1258">
        <f>'Basis &amp; Credits'!AD15</f>
        <v>0</v>
      </c>
      <c r="AE15" s="1258"/>
      <c r="AF15" s="1258"/>
      <c r="AG15" s="1258"/>
      <c r="AH15" s="1258"/>
      <c r="AI15" s="1258">
        <f>'Basis &amp; Credits'!AI15</f>
        <v>0</v>
      </c>
      <c r="AJ15" s="1258"/>
      <c r="AK15" s="1258"/>
      <c r="AL15" s="1258"/>
      <c r="AM15" s="1258"/>
    </row>
    <row r="16" spans="1:40" ht="12.9" customHeight="1">
      <c r="B16" s="8"/>
      <c r="C16" s="1642" t="s">
        <v>1012</v>
      </c>
      <c r="D16" s="1642"/>
      <c r="E16" s="1642"/>
      <c r="F16" s="1642"/>
      <c r="G16" s="1642"/>
      <c r="H16" s="1642"/>
      <c r="I16" s="1642"/>
      <c r="J16" s="1642"/>
      <c r="K16" s="1642"/>
      <c r="L16" s="1642"/>
      <c r="M16" s="1642"/>
      <c r="N16" s="1642"/>
      <c r="O16" s="1642"/>
      <c r="P16" s="1642"/>
      <c r="Q16" s="1642"/>
      <c r="R16" s="1642"/>
      <c r="S16" s="1645"/>
      <c r="T16" s="1086">
        <f>'Basis &amp; Credits'!T16</f>
        <v>0</v>
      </c>
      <c r="U16" s="1258"/>
      <c r="V16" s="1258"/>
      <c r="W16" s="1258"/>
      <c r="X16" s="1258"/>
      <c r="Y16" s="1086">
        <f>'Basis &amp; Credits'!Y16</f>
        <v>0</v>
      </c>
      <c r="Z16" s="1258"/>
      <c r="AA16" s="1258"/>
      <c r="AB16" s="1258"/>
      <c r="AC16" s="1258"/>
      <c r="AD16" s="1258">
        <f>'Basis &amp; Credits'!AD16</f>
        <v>0</v>
      </c>
      <c r="AE16" s="1258"/>
      <c r="AF16" s="1258"/>
      <c r="AG16" s="1258"/>
      <c r="AH16" s="1258"/>
      <c r="AI16" s="1258">
        <f>'Basis &amp; Credits'!AI16</f>
        <v>0</v>
      </c>
      <c r="AJ16" s="1258"/>
      <c r="AK16" s="1258"/>
      <c r="AL16" s="1258"/>
      <c r="AM16" s="1258"/>
    </row>
    <row r="17" spans="1:39" ht="12.9" customHeight="1">
      <c r="B17" s="8"/>
      <c r="C17" s="1643" t="s">
        <v>770</v>
      </c>
      <c r="D17" s="1643"/>
      <c r="E17" s="1643"/>
      <c r="F17" s="1643"/>
      <c r="G17" s="1643"/>
      <c r="H17" s="1643"/>
      <c r="I17" s="1643"/>
      <c r="J17" s="1643"/>
      <c r="K17" s="1643"/>
      <c r="L17" s="1643"/>
      <c r="M17" s="1643"/>
      <c r="N17" s="1643"/>
      <c r="O17" s="1643"/>
      <c r="P17" s="1643"/>
      <c r="Q17" s="1643"/>
      <c r="R17" s="1643"/>
      <c r="S17" s="1644"/>
      <c r="T17" s="1086">
        <f>'Basis &amp; Credits'!T17</f>
        <v>0</v>
      </c>
      <c r="U17" s="1258"/>
      <c r="V17" s="1258"/>
      <c r="W17" s="1258"/>
      <c r="X17" s="1258"/>
      <c r="Y17" s="1086">
        <f>'Basis &amp; Credits'!Y17</f>
        <v>0</v>
      </c>
      <c r="Z17" s="1258"/>
      <c r="AA17" s="1258"/>
      <c r="AB17" s="1258"/>
      <c r="AC17" s="1258"/>
      <c r="AD17" s="1258">
        <f>'Basis &amp; Credits'!AD17</f>
        <v>0</v>
      </c>
      <c r="AE17" s="1258"/>
      <c r="AF17" s="1258"/>
      <c r="AG17" s="1258"/>
      <c r="AH17" s="1258"/>
      <c r="AI17" s="1258">
        <f>'Basis &amp; Credits'!AI17</f>
        <v>0</v>
      </c>
      <c r="AJ17" s="1258"/>
      <c r="AK17" s="1258"/>
      <c r="AL17" s="1258"/>
      <c r="AM17" s="1258"/>
    </row>
    <row r="18" spans="1:39" ht="12.9" customHeight="1">
      <c r="B18" s="593"/>
      <c r="C18" s="1642" t="s">
        <v>1364</v>
      </c>
      <c r="D18" s="1643"/>
      <c r="E18" s="1643"/>
      <c r="F18" s="1643"/>
      <c r="G18" s="1643"/>
      <c r="H18" s="1643"/>
      <c r="I18" s="1643"/>
      <c r="J18" s="1643"/>
      <c r="K18" s="1643"/>
      <c r="L18" s="1643"/>
      <c r="M18" s="1643"/>
      <c r="N18" s="1643"/>
      <c r="O18" s="1643"/>
      <c r="P18" s="1643"/>
      <c r="Q18" s="1643"/>
      <c r="R18" s="1643"/>
      <c r="S18" s="1644"/>
      <c r="T18" s="1084">
        <f>'Basis &amp; Credits'!T18</f>
        <v>0</v>
      </c>
      <c r="U18" s="1085"/>
      <c r="V18" s="1085"/>
      <c r="W18" s="1085"/>
      <c r="X18" s="1086"/>
      <c r="Y18" s="1086">
        <f>'Basis &amp; Credits'!Y18</f>
        <v>0</v>
      </c>
      <c r="Z18" s="1258"/>
      <c r="AA18" s="1258"/>
      <c r="AB18" s="1258"/>
      <c r="AC18" s="1258"/>
      <c r="AD18" s="1258">
        <f>'Basis &amp; Credits'!AD18</f>
        <v>0</v>
      </c>
      <c r="AE18" s="1258"/>
      <c r="AF18" s="1258"/>
      <c r="AG18" s="1258"/>
      <c r="AH18" s="1258"/>
      <c r="AI18" s="1258">
        <f>'Basis &amp; Credits'!AI18</f>
        <v>0</v>
      </c>
      <c r="AJ18" s="1258"/>
      <c r="AK18" s="1258"/>
      <c r="AL18" s="1258"/>
      <c r="AM18" s="1258"/>
    </row>
    <row r="19" spans="1:39" ht="12.9"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086">
        <f>'Basis &amp; Credits'!T19</f>
        <v>0</v>
      </c>
      <c r="U19" s="1258"/>
      <c r="V19" s="1258"/>
      <c r="W19" s="1258"/>
      <c r="X19" s="1258"/>
      <c r="Y19" s="1086">
        <f>'Basis &amp; Credits'!Y19</f>
        <v>0</v>
      </c>
      <c r="Z19" s="1258"/>
      <c r="AA19" s="1258"/>
      <c r="AB19" s="1258"/>
      <c r="AC19" s="1258"/>
      <c r="AD19" s="1258">
        <f>'Basis &amp; Credits'!AD19</f>
        <v>0</v>
      </c>
      <c r="AE19" s="1258"/>
      <c r="AF19" s="1258"/>
      <c r="AG19" s="1258"/>
      <c r="AH19" s="1258"/>
      <c r="AI19" s="1258">
        <f>'Basis &amp; Credits'!AI19</f>
        <v>0</v>
      </c>
      <c r="AJ19" s="1258"/>
      <c r="AK19" s="1258"/>
      <c r="AL19" s="1258"/>
      <c r="AM19" s="1258"/>
    </row>
    <row r="20" spans="1:39" ht="12.9" customHeight="1">
      <c r="B20" s="1061" t="s">
        <v>771</v>
      </c>
      <c r="C20" s="1062"/>
      <c r="D20" s="1062"/>
      <c r="E20" s="1062"/>
      <c r="F20" s="1062"/>
      <c r="G20" s="1062"/>
      <c r="H20" s="1062"/>
      <c r="I20" s="1062"/>
      <c r="J20" s="1062"/>
      <c r="K20" s="1062"/>
      <c r="L20" s="1062"/>
      <c r="M20" s="1062"/>
      <c r="N20" s="1062"/>
      <c r="O20" s="1062"/>
      <c r="P20" s="1062"/>
      <c r="Q20" s="1062"/>
      <c r="R20" s="1062"/>
      <c r="S20" s="1063"/>
      <c r="T20" s="1631">
        <f>SUM(T13:X19)</f>
        <v>0</v>
      </c>
      <c r="U20" s="1273"/>
      <c r="V20" s="1273"/>
      <c r="W20" s="1273"/>
      <c r="X20" s="1273"/>
      <c r="Y20" s="1631">
        <f>SUM(Y13:AC19)</f>
        <v>0</v>
      </c>
      <c r="Z20" s="1273"/>
      <c r="AA20" s="1273"/>
      <c r="AB20" s="1273"/>
      <c r="AC20" s="1273"/>
      <c r="AD20" s="1273">
        <f>SUM(AD13:AH19)</f>
        <v>0</v>
      </c>
      <c r="AE20" s="1273"/>
      <c r="AF20" s="1273"/>
      <c r="AG20" s="1273"/>
      <c r="AH20" s="1273"/>
      <c r="AI20" s="1273">
        <f>SUM(AI13:AM19)</f>
        <v>0</v>
      </c>
      <c r="AJ20" s="1273"/>
      <c r="AK20" s="1273"/>
      <c r="AL20" s="1273"/>
      <c r="AM20" s="1273"/>
    </row>
    <row r="21" spans="1:39" ht="12.9" customHeight="1">
      <c r="B21" s="1061" t="s">
        <v>1711</v>
      </c>
      <c r="C21" s="1062"/>
      <c r="D21" s="1062"/>
      <c r="E21" s="1062"/>
      <c r="F21" s="1062"/>
      <c r="G21" s="1062"/>
      <c r="H21" s="1062"/>
      <c r="I21" s="1062"/>
      <c r="J21" s="1062"/>
      <c r="K21" s="1062"/>
      <c r="L21" s="1062"/>
      <c r="M21" s="1062"/>
      <c r="N21" s="1062"/>
      <c r="O21" s="1062"/>
      <c r="P21" s="1062"/>
      <c r="Q21" s="1062"/>
      <c r="R21" s="1062"/>
      <c r="S21" s="1063"/>
      <c r="T21" s="1086">
        <f>'Basis &amp; Credits'!T21</f>
        <v>16310891</v>
      </c>
      <c r="U21" s="1258"/>
      <c r="V21" s="1258"/>
      <c r="W21" s="1258"/>
      <c r="X21" s="1258"/>
      <c r="Y21" s="1086">
        <f>'Basis &amp; Credits'!Y21</f>
        <v>0</v>
      </c>
      <c r="Z21" s="1258"/>
      <c r="AA21" s="1258"/>
      <c r="AB21" s="1258"/>
      <c r="AC21" s="1258"/>
      <c r="AD21" s="1258">
        <f>'Basis &amp; Credits'!AD21</f>
        <v>0</v>
      </c>
      <c r="AE21" s="1258"/>
      <c r="AF21" s="1258"/>
      <c r="AG21" s="1258"/>
      <c r="AH21" s="1258"/>
      <c r="AI21" s="1258">
        <f>'Basis &amp; Credits'!AI21</f>
        <v>0</v>
      </c>
      <c r="AJ21" s="1258"/>
      <c r="AK21" s="1258"/>
      <c r="AL21" s="1258"/>
      <c r="AM21" s="1258"/>
    </row>
    <row r="22" spans="1:39" ht="12.9" customHeight="1">
      <c r="B22" s="1061" t="s">
        <v>772</v>
      </c>
      <c r="C22" s="1062"/>
      <c r="D22" s="1062"/>
      <c r="E22" s="1062"/>
      <c r="F22" s="1062"/>
      <c r="G22" s="1062"/>
      <c r="H22" s="1062"/>
      <c r="I22" s="1062"/>
      <c r="J22" s="1062"/>
      <c r="K22" s="1062"/>
      <c r="L22" s="1062"/>
      <c r="M22" s="1062"/>
      <c r="N22" s="1062"/>
      <c r="O22" s="1062"/>
      <c r="P22" s="1062"/>
      <c r="Q22" s="1062"/>
      <c r="R22" s="1062"/>
      <c r="S22" s="1063"/>
      <c r="T22" s="1632">
        <f>(T20+T21)*-1</f>
        <v>-16310891</v>
      </c>
      <c r="U22" s="1633"/>
      <c r="V22" s="1633"/>
      <c r="W22" s="1633"/>
      <c r="X22" s="1633"/>
      <c r="Y22" s="1632">
        <f>(Y20+Y21)*-1</f>
        <v>0</v>
      </c>
      <c r="Z22" s="1633"/>
      <c r="AA22" s="1633"/>
      <c r="AB22" s="1633"/>
      <c r="AC22" s="1633"/>
      <c r="AD22" s="1632">
        <f>(AD20+AD21)*-1</f>
        <v>0</v>
      </c>
      <c r="AE22" s="1633"/>
      <c r="AF22" s="1633"/>
      <c r="AG22" s="1633"/>
      <c r="AH22" s="1633"/>
      <c r="AI22" s="1632">
        <f>(AI20+AI21)*-1</f>
        <v>0</v>
      </c>
      <c r="AJ22" s="1633"/>
      <c r="AK22" s="1633"/>
      <c r="AL22" s="1633"/>
      <c r="AM22" s="1633"/>
    </row>
    <row r="23" spans="1:39" ht="12.9" customHeight="1">
      <c r="B23" s="1061" t="s">
        <v>773</v>
      </c>
      <c r="C23" s="1062"/>
      <c r="D23" s="1062"/>
      <c r="E23" s="1062"/>
      <c r="F23" s="1062"/>
      <c r="G23" s="1062"/>
      <c r="H23" s="1062"/>
      <c r="I23" s="1062"/>
      <c r="J23" s="1062"/>
      <c r="K23" s="1062"/>
      <c r="L23" s="1062"/>
      <c r="M23" s="1062"/>
      <c r="N23" s="1062"/>
      <c r="O23" s="1062"/>
      <c r="P23" s="1062"/>
      <c r="Q23" s="1062"/>
      <c r="R23" s="1062"/>
      <c r="S23" s="1063"/>
      <c r="T23" s="1631">
        <f>T11+T22</f>
        <v>14642578</v>
      </c>
      <c r="U23" s="1273"/>
      <c r="V23" s="1273"/>
      <c r="W23" s="1273"/>
      <c r="X23" s="1273"/>
      <c r="Y23" s="1631">
        <f>Y11+Y22</f>
        <v>0</v>
      </c>
      <c r="Z23" s="1273"/>
      <c r="AA23" s="1273"/>
      <c r="AB23" s="1273"/>
      <c r="AC23" s="1273"/>
      <c r="AD23" s="1631">
        <f>AD11+AD22</f>
        <v>0</v>
      </c>
      <c r="AE23" s="1273"/>
      <c r="AF23" s="1273"/>
      <c r="AG23" s="1273"/>
      <c r="AH23" s="1273"/>
      <c r="AI23" s="1631">
        <f>AI11+AI22</f>
        <v>0</v>
      </c>
      <c r="AJ23" s="1273"/>
      <c r="AK23" s="1273"/>
      <c r="AL23" s="1273"/>
      <c r="AM23" s="1273"/>
    </row>
    <row r="24" spans="1:39" ht="12.9" customHeight="1">
      <c r="B24" s="1061" t="s">
        <v>1218</v>
      </c>
      <c r="C24" s="1062"/>
      <c r="D24" s="1062"/>
      <c r="E24" s="1062"/>
      <c r="F24" s="1062"/>
      <c r="G24" s="1062"/>
      <c r="H24" s="1062"/>
      <c r="I24" s="1062"/>
      <c r="J24" s="1062"/>
      <c r="K24" s="1062"/>
      <c r="L24" s="1062"/>
      <c r="M24" s="1062"/>
      <c r="N24" s="1062"/>
      <c r="O24" s="1062"/>
      <c r="P24" s="1062"/>
      <c r="Q24" s="1062"/>
      <c r="R24" s="1062"/>
      <c r="S24" s="1063"/>
      <c r="T24" s="1629">
        <f>Application!AD1011</f>
        <v>0</v>
      </c>
      <c r="U24" s="1630"/>
      <c r="V24" s="1630"/>
      <c r="W24" s="1630"/>
      <c r="X24" s="1630"/>
      <c r="Y24" s="1630"/>
      <c r="Z24" s="1630"/>
      <c r="AA24" s="1630"/>
      <c r="AB24" s="1630"/>
      <c r="AC24" s="1630"/>
      <c r="AD24" s="1630"/>
      <c r="AE24" s="1630"/>
      <c r="AF24" s="1630"/>
      <c r="AG24" s="1630"/>
      <c r="AH24" s="1630"/>
      <c r="AI24" s="1630"/>
      <c r="AJ24" s="1630"/>
      <c r="AK24" s="1630"/>
      <c r="AL24" s="1630"/>
      <c r="AM24" s="1631"/>
    </row>
    <row r="25" spans="1:39" ht="12.9" customHeight="1">
      <c r="B25" s="1621" t="s">
        <v>1747</v>
      </c>
      <c r="C25" s="1622"/>
      <c r="D25" s="1622"/>
      <c r="E25" s="1622"/>
      <c r="F25" s="1622"/>
      <c r="G25" s="1622"/>
      <c r="H25" s="1622"/>
      <c r="I25" s="1622"/>
      <c r="J25" s="1622"/>
      <c r="K25" s="1622"/>
      <c r="L25" s="1622"/>
      <c r="M25" s="1622"/>
      <c r="N25" s="1622"/>
      <c r="O25" s="1622"/>
      <c r="P25" s="1622"/>
      <c r="Q25" s="1622"/>
      <c r="R25" s="1622"/>
      <c r="S25" s="1623"/>
      <c r="T25" s="1635">
        <v>1</v>
      </c>
      <c r="U25" s="1636"/>
      <c r="V25" s="1636"/>
      <c r="W25" s="1636"/>
      <c r="X25" s="1636"/>
      <c r="Y25" s="1635">
        <v>1</v>
      </c>
      <c r="Z25" s="1636"/>
      <c r="AA25" s="1636"/>
      <c r="AB25" s="1636"/>
      <c r="AC25" s="1637"/>
      <c r="AD25" s="1635">
        <v>1</v>
      </c>
      <c r="AE25" s="1636"/>
      <c r="AF25" s="1636"/>
      <c r="AG25" s="1636"/>
      <c r="AH25" s="1637"/>
      <c r="AI25" s="1635">
        <v>1</v>
      </c>
      <c r="AJ25" s="1636"/>
      <c r="AK25" s="1636"/>
      <c r="AL25" s="1636"/>
      <c r="AM25" s="1637"/>
    </row>
    <row r="26" spans="1:39" ht="12.9" customHeight="1">
      <c r="B26" s="1061" t="s">
        <v>774</v>
      </c>
      <c r="C26" s="1062"/>
      <c r="D26" s="1062"/>
      <c r="E26" s="1062"/>
      <c r="F26" s="1062"/>
      <c r="G26" s="1062"/>
      <c r="H26" s="1062"/>
      <c r="I26" s="1062"/>
      <c r="J26" s="1062"/>
      <c r="K26" s="1062"/>
      <c r="L26" s="1062"/>
      <c r="M26" s="1062"/>
      <c r="N26" s="1062"/>
      <c r="O26" s="1062"/>
      <c r="P26" s="1062"/>
      <c r="Q26" s="1062"/>
      <c r="R26" s="1062"/>
      <c r="S26" s="1063"/>
      <c r="T26" s="1072">
        <f>T23*T25</f>
        <v>14642578</v>
      </c>
      <c r="U26" s="1634"/>
      <c r="V26" s="1634"/>
      <c r="W26" s="1634"/>
      <c r="X26" s="1634"/>
      <c r="Y26" s="1072">
        <f>Y23*Y25</f>
        <v>0</v>
      </c>
      <c r="Z26" s="1634"/>
      <c r="AA26" s="1634"/>
      <c r="AB26" s="1634"/>
      <c r="AC26" s="1634"/>
      <c r="AD26" s="1072">
        <f>AD23*AD25</f>
        <v>0</v>
      </c>
      <c r="AE26" s="1634"/>
      <c r="AF26" s="1634"/>
      <c r="AG26" s="1634"/>
      <c r="AH26" s="1634"/>
      <c r="AI26" s="1072">
        <f>AI23*AI25</f>
        <v>0</v>
      </c>
      <c r="AJ26" s="1634"/>
      <c r="AK26" s="1634"/>
      <c r="AL26" s="1634"/>
      <c r="AM26" s="1634"/>
    </row>
    <row r="27" spans="1:39" ht="12.9" customHeight="1">
      <c r="A27" s="4"/>
      <c r="B27" s="1624" t="s">
        <v>879</v>
      </c>
      <c r="C27" s="1625"/>
      <c r="D27" s="1625"/>
      <c r="E27" s="1625"/>
      <c r="F27" s="1625"/>
      <c r="G27" s="1625"/>
      <c r="H27" s="1625"/>
      <c r="I27" s="1625"/>
      <c r="J27" s="1625"/>
      <c r="K27" s="1625"/>
      <c r="L27" s="1625"/>
      <c r="M27" s="1625"/>
      <c r="N27" s="1625"/>
      <c r="O27" s="1625"/>
      <c r="P27" s="1625"/>
      <c r="Q27" s="1625"/>
      <c r="R27" s="1625"/>
      <c r="S27" s="1626"/>
      <c r="T27" s="1627">
        <f>Application!AG438</f>
        <v>1</v>
      </c>
      <c r="U27" s="1628"/>
      <c r="V27" s="1628"/>
      <c r="W27" s="1628"/>
      <c r="X27" s="1628"/>
      <c r="Y27" s="1627">
        <f>Application!AG438</f>
        <v>1</v>
      </c>
      <c r="Z27" s="1628"/>
      <c r="AA27" s="1628"/>
      <c r="AB27" s="1628"/>
      <c r="AC27" s="1628"/>
      <c r="AD27" s="1627">
        <f>Application!AG438</f>
        <v>1</v>
      </c>
      <c r="AE27" s="1628"/>
      <c r="AF27" s="1628"/>
      <c r="AG27" s="1628"/>
      <c r="AH27" s="1628"/>
      <c r="AI27" s="1627">
        <f>Application!AG438</f>
        <v>1</v>
      </c>
      <c r="AJ27" s="1628"/>
      <c r="AK27" s="1628"/>
      <c r="AL27" s="1628"/>
      <c r="AM27" s="1628"/>
    </row>
    <row r="28" spans="1:39" ht="12.9" customHeight="1">
      <c r="A28" s="3"/>
      <c r="B28" s="1061" t="s">
        <v>843</v>
      </c>
      <c r="C28" s="1062"/>
      <c r="D28" s="1062"/>
      <c r="E28" s="1062"/>
      <c r="F28" s="1062"/>
      <c r="G28" s="1062"/>
      <c r="H28" s="1062"/>
      <c r="I28" s="1062"/>
      <c r="J28" s="1062"/>
      <c r="K28" s="1062"/>
      <c r="L28" s="1062"/>
      <c r="M28" s="1062"/>
      <c r="N28" s="1062"/>
      <c r="O28" s="1062"/>
      <c r="P28" s="1062"/>
      <c r="Q28" s="1062"/>
      <c r="R28" s="1062"/>
      <c r="S28" s="1063"/>
      <c r="T28" s="1072">
        <f>IF(ISERROR((T26*T27)),0,(T26*T27))</f>
        <v>14642578</v>
      </c>
      <c r="U28" s="1634"/>
      <c r="V28" s="1634"/>
      <c r="W28" s="1634"/>
      <c r="X28" s="1634"/>
      <c r="Y28" s="1072">
        <f>IF(ISERROR((Y26*Y27)),0,(Y26*Y27))</f>
        <v>0</v>
      </c>
      <c r="Z28" s="1634"/>
      <c r="AA28" s="1634"/>
      <c r="AB28" s="1634"/>
      <c r="AC28" s="1634"/>
      <c r="AD28" s="1072">
        <f>IF(ISERROR((AD26*AD27)),0,(AD26*AD27))</f>
        <v>0</v>
      </c>
      <c r="AE28" s="1634"/>
      <c r="AF28" s="1634"/>
      <c r="AG28" s="1634"/>
      <c r="AH28" s="1634"/>
      <c r="AI28" s="1072">
        <f>IF(ISERROR((AI26*AI27)),0,(AI26*AI27))</f>
        <v>0</v>
      </c>
      <c r="AJ28" s="1634"/>
      <c r="AK28" s="1634"/>
      <c r="AL28" s="1634"/>
      <c r="AM28" s="1634"/>
    </row>
    <row r="29" spans="1:39" ht="12.9" customHeight="1">
      <c r="B29" s="1061" t="s">
        <v>623</v>
      </c>
      <c r="C29" s="1062"/>
      <c r="D29" s="1062"/>
      <c r="E29" s="1062"/>
      <c r="F29" s="1062"/>
      <c r="G29" s="1062"/>
      <c r="H29" s="1062"/>
      <c r="I29" s="1062"/>
      <c r="J29" s="1062"/>
      <c r="K29" s="1062"/>
      <c r="L29" s="1062"/>
      <c r="M29" s="1062"/>
      <c r="N29" s="1062"/>
      <c r="O29" s="1062"/>
      <c r="P29" s="1062"/>
      <c r="Q29" s="1062"/>
      <c r="R29" s="1062"/>
      <c r="S29" s="1063"/>
      <c r="T29" s="1629">
        <f>T28+Y28+AD28+AI28</f>
        <v>14642578</v>
      </c>
      <c r="U29" s="1630"/>
      <c r="V29" s="1630"/>
      <c r="W29" s="1630"/>
      <c r="X29" s="1630"/>
      <c r="Y29" s="1630"/>
      <c r="Z29" s="1630"/>
      <c r="AA29" s="1630"/>
      <c r="AB29" s="1630"/>
      <c r="AC29" s="1630"/>
      <c r="AD29" s="1630"/>
      <c r="AE29" s="1630"/>
      <c r="AF29" s="1630"/>
      <c r="AG29" s="1630"/>
      <c r="AH29" s="1630"/>
      <c r="AI29" s="1630"/>
      <c r="AJ29" s="1630"/>
      <c r="AK29" s="1630"/>
      <c r="AL29" s="1630"/>
      <c r="AM29" s="1631"/>
    </row>
    <row r="30" spans="1:39" ht="12.9" customHeight="1">
      <c r="B30" s="1990"/>
      <c r="C30" s="1990"/>
      <c r="D30" s="1990"/>
      <c r="E30" s="1990"/>
      <c r="F30" s="1990"/>
      <c r="G30" s="1990"/>
      <c r="H30" s="1990"/>
      <c r="I30" s="1990"/>
      <c r="J30" s="1990"/>
      <c r="K30" s="1990"/>
      <c r="L30" s="1990"/>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38" t="s">
        <v>1605</v>
      </c>
      <c r="Z35" s="1638"/>
      <c r="AA35" s="1638"/>
      <c r="AB35" s="1638"/>
      <c r="AC35" s="1638"/>
      <c r="AD35" s="1520" t="s">
        <v>41</v>
      </c>
      <c r="AE35" s="1520"/>
      <c r="AF35" s="1520"/>
      <c r="AG35" s="1520"/>
      <c r="AH35" s="1520"/>
    </row>
    <row r="36" spans="1:40" ht="12.9" customHeight="1">
      <c r="B36" s="204"/>
      <c r="X36" s="71"/>
      <c r="Y36" s="1638"/>
      <c r="Z36" s="1638"/>
      <c r="AA36" s="1638"/>
      <c r="AB36" s="1638"/>
      <c r="AC36" s="1638"/>
      <c r="AD36" s="1520"/>
      <c r="AE36" s="1520"/>
      <c r="AF36" s="1520"/>
      <c r="AG36" s="1520"/>
      <c r="AH36" s="152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38"/>
      <c r="Z37" s="1638"/>
      <c r="AA37" s="1638"/>
      <c r="AB37" s="1638"/>
      <c r="AC37" s="1638"/>
      <c r="AD37" s="1520"/>
      <c r="AE37" s="1520"/>
      <c r="AF37" s="1520"/>
      <c r="AG37" s="1520"/>
      <c r="AH37" s="1520"/>
    </row>
    <row r="38" spans="1:40" ht="12.9" customHeight="1">
      <c r="A38" s="3"/>
      <c r="B38" s="1061" t="s">
        <v>843</v>
      </c>
      <c r="C38" s="1062"/>
      <c r="D38" s="1062"/>
      <c r="E38" s="1062"/>
      <c r="F38" s="1062"/>
      <c r="G38" s="1062"/>
      <c r="H38" s="1062"/>
      <c r="I38" s="1062"/>
      <c r="J38" s="1062"/>
      <c r="K38" s="1062"/>
      <c r="L38" s="1062"/>
      <c r="M38" s="1062"/>
      <c r="N38" s="1062"/>
      <c r="O38" s="1062"/>
      <c r="P38" s="1062"/>
      <c r="Q38" s="1062"/>
      <c r="R38" s="1062"/>
      <c r="S38" s="1062"/>
      <c r="T38" s="1062"/>
      <c r="U38" s="1062"/>
      <c r="V38" s="1062"/>
      <c r="W38" s="1062"/>
      <c r="X38" s="1063"/>
      <c r="Y38" s="1273">
        <f>IF(T24&gt;=(T23+Y23+AD23+AI23),T28+Y28,0)</f>
        <v>0</v>
      </c>
      <c r="Z38" s="1273"/>
      <c r="AA38" s="1273"/>
      <c r="AB38" s="1273"/>
      <c r="AC38" s="1273"/>
      <c r="AD38" s="1273">
        <f>IF(T24&gt;=(T23+Y23+AD23+AI23),AD28+AI28,0)</f>
        <v>0</v>
      </c>
      <c r="AE38" s="1273"/>
      <c r="AF38" s="1273"/>
      <c r="AG38" s="1273"/>
      <c r="AH38" s="1273"/>
    </row>
    <row r="39" spans="1:40" ht="12.9" customHeight="1">
      <c r="B39" s="1061" t="s">
        <v>765</v>
      </c>
      <c r="C39" s="1062"/>
      <c r="D39" s="1062"/>
      <c r="E39" s="1062"/>
      <c r="F39" s="1062"/>
      <c r="G39" s="1062"/>
      <c r="H39" s="1062"/>
      <c r="I39" s="1062"/>
      <c r="J39" s="1062"/>
      <c r="K39" s="1062"/>
      <c r="L39" s="1062"/>
      <c r="M39" s="1062"/>
      <c r="N39" s="1062"/>
      <c r="O39" s="1062"/>
      <c r="P39" s="1062"/>
      <c r="Q39" s="1062"/>
      <c r="R39" s="1062"/>
      <c r="S39" s="1062"/>
      <c r="T39" s="1062"/>
      <c r="U39" s="1062"/>
      <c r="V39" s="1062"/>
      <c r="W39" s="1062"/>
      <c r="X39" s="1063"/>
      <c r="Y39" s="1989">
        <v>0.09</v>
      </c>
      <c r="Z39" s="1989"/>
      <c r="AA39" s="1989"/>
      <c r="AB39" s="1989"/>
      <c r="AC39" s="1989"/>
      <c r="AD39" s="1989">
        <f>'Basis &amp; Credits'!AD39:AH39</f>
        <v>0.04</v>
      </c>
      <c r="AE39" s="1989"/>
      <c r="AF39" s="1989"/>
      <c r="AG39" s="1989"/>
      <c r="AH39" s="1989"/>
    </row>
    <row r="40" spans="1:40" ht="12.9" customHeight="1">
      <c r="A40" s="3"/>
      <c r="B40" s="1061" t="s">
        <v>23</v>
      </c>
      <c r="C40" s="1062"/>
      <c r="D40" s="1062"/>
      <c r="E40" s="1062"/>
      <c r="F40" s="1062"/>
      <c r="G40" s="1062"/>
      <c r="H40" s="1062"/>
      <c r="I40" s="1062"/>
      <c r="J40" s="1062"/>
      <c r="K40" s="1062"/>
      <c r="L40" s="1062"/>
      <c r="M40" s="1062"/>
      <c r="N40" s="1062"/>
      <c r="O40" s="1062"/>
      <c r="P40" s="1062"/>
      <c r="Q40" s="1062"/>
      <c r="R40" s="1062"/>
      <c r="S40" s="1062"/>
      <c r="T40" s="1062"/>
      <c r="U40" s="1062"/>
      <c r="V40" s="1062"/>
      <c r="W40" s="1062"/>
      <c r="X40" s="1063"/>
      <c r="Y40" s="1273">
        <f>ROUND(Y38*Y39,0)</f>
        <v>0</v>
      </c>
      <c r="Z40" s="1273"/>
      <c r="AA40" s="1273"/>
      <c r="AB40" s="1273"/>
      <c r="AC40" s="1273"/>
      <c r="AD40" s="1631">
        <f>ROUND(AD38*AD39,0)</f>
        <v>0</v>
      </c>
      <c r="AE40" s="1273"/>
      <c r="AF40" s="1273"/>
      <c r="AG40" s="1273"/>
      <c r="AH40" s="1273"/>
    </row>
    <row r="41" spans="1:40" ht="12.9" customHeight="1">
      <c r="B41" s="1061" t="s">
        <v>617</v>
      </c>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3"/>
      <c r="Y41" s="1629">
        <f>IF((Y40+AD40)&gt;2500000,2500000,Y40+AD40)</f>
        <v>0</v>
      </c>
      <c r="Z41" s="1630"/>
      <c r="AA41" s="1630"/>
      <c r="AB41" s="1630"/>
      <c r="AC41" s="1630"/>
      <c r="AD41" s="1630"/>
      <c r="AE41" s="1630"/>
      <c r="AF41" s="1630"/>
      <c r="AG41" s="1630"/>
      <c r="AH41" s="1631"/>
    </row>
    <row r="42" spans="1:40" ht="12.9" customHeight="1">
      <c r="A42" s="3"/>
      <c r="B42" s="1663" t="s">
        <v>1162</v>
      </c>
      <c r="C42" s="1663"/>
      <c r="D42" s="1663"/>
      <c r="E42" s="1663"/>
      <c r="F42" s="1663"/>
      <c r="G42" s="1663"/>
      <c r="H42" s="1663"/>
      <c r="I42" s="1663"/>
      <c r="J42" s="1663"/>
      <c r="K42" s="1663"/>
      <c r="L42" s="1663"/>
      <c r="M42" s="1663"/>
      <c r="N42" s="1663"/>
      <c r="O42" s="1663"/>
      <c r="P42" s="1663"/>
      <c r="Q42" s="1663"/>
      <c r="R42" s="1663"/>
      <c r="S42" s="1663"/>
      <c r="T42" s="1663"/>
      <c r="U42" s="1663"/>
      <c r="V42" s="1663"/>
      <c r="W42" s="1663"/>
      <c r="X42" s="1663"/>
      <c r="Y42" s="1663"/>
      <c r="Z42" s="1663"/>
      <c r="AA42" s="1663"/>
      <c r="AB42" s="1663"/>
      <c r="AC42" s="1663"/>
      <c r="AD42" s="1663"/>
      <c r="AE42" s="1663"/>
      <c r="AF42" s="1663"/>
      <c r="AG42" s="1663"/>
      <c r="AH42" s="1663"/>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077">
        <f>'Sources and Uses Budget'!B104-'Sources and Uses Budget'!$B$15</f>
        <v>31965267</v>
      </c>
      <c r="AC46" s="1078"/>
      <c r="AD46" s="1078"/>
      <c r="AE46" s="1078"/>
      <c r="AF46" s="1079"/>
    </row>
    <row r="47" spans="1:40" ht="12.9" customHeight="1">
      <c r="D47" s="3" t="s">
        <v>837</v>
      </c>
      <c r="AB47" s="1077">
        <f>Application!AG633-MIN('Sources and Uses Budget'!B15,Application!AG385)</f>
        <v>0</v>
      </c>
      <c r="AC47" s="1078"/>
      <c r="AD47" s="1078"/>
      <c r="AE47" s="1078"/>
      <c r="AF47" s="1079"/>
    </row>
    <row r="48" spans="1:40" ht="12.9" customHeight="1">
      <c r="D48" s="3" t="s">
        <v>378</v>
      </c>
      <c r="AB48" s="1077">
        <f>AB46-AB47</f>
        <v>31965267</v>
      </c>
      <c r="AC48" s="1078"/>
      <c r="AD48" s="1078"/>
      <c r="AE48" s="1078"/>
      <c r="AF48" s="1079"/>
    </row>
    <row r="49" spans="1:40" ht="12.9" customHeight="1">
      <c r="D49" s="3" t="s">
        <v>872</v>
      </c>
      <c r="AA49" s="34"/>
      <c r="AB49" s="1658"/>
      <c r="AC49" s="1659"/>
      <c r="AD49" s="1659"/>
      <c r="AE49" s="1659"/>
      <c r="AF49" s="1660"/>
    </row>
    <row r="50" spans="1:40" s="323" customFormat="1" ht="12.9" customHeight="1">
      <c r="A50"/>
      <c r="B50"/>
      <c r="C50"/>
      <c r="D50"/>
      <c r="E50" s="1664" t="s">
        <v>1353</v>
      </c>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354"/>
      <c r="AB50" s="354"/>
      <c r="AC50" s="354"/>
      <c r="AD50" s="354"/>
      <c r="AE50" s="354"/>
      <c r="AF50" s="354"/>
      <c r="AG50"/>
      <c r="AH50"/>
      <c r="AI50"/>
      <c r="AJ50"/>
      <c r="AK50"/>
      <c r="AL50"/>
      <c r="AM50"/>
      <c r="AN50"/>
    </row>
    <row r="51" spans="1:40" s="323" customFormat="1" ht="12.9" customHeight="1">
      <c r="A51"/>
      <c r="B51"/>
      <c r="C51"/>
      <c r="D51"/>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077">
        <f>ROUND(IF(ISERROR((AB48/AB49)),0,(AB48/AB49)),0)</f>
        <v>0</v>
      </c>
      <c r="AC53" s="1078"/>
      <c r="AD53" s="1078"/>
      <c r="AE53" s="1078"/>
      <c r="AF53" s="1079"/>
    </row>
    <row r="54" spans="1:40" ht="12.9" customHeight="1">
      <c r="D54" s="3" t="s">
        <v>561</v>
      </c>
      <c r="AB54" s="1077">
        <f>(AB53/10)</f>
        <v>0</v>
      </c>
      <c r="AC54" s="1078"/>
      <c r="AD54" s="1078"/>
      <c r="AE54" s="1078"/>
      <c r="AF54" s="1079"/>
    </row>
    <row r="55" spans="1:40" ht="12.9" customHeight="1">
      <c r="D55" s="3" t="s">
        <v>341</v>
      </c>
      <c r="AB55" s="1991">
        <f>(IF((Y41&lt;AB54),Y41,AB54))</f>
        <v>0</v>
      </c>
      <c r="AC55" s="1992"/>
      <c r="AD55" s="1992"/>
      <c r="AE55" s="1992"/>
      <c r="AF55" s="1993"/>
    </row>
    <row r="56" spans="1:40" ht="12.9" customHeight="1">
      <c r="D56" s="3" t="s">
        <v>107</v>
      </c>
      <c r="AB56" s="1077">
        <f>ROUND((10*AB55*AB49),0)</f>
        <v>0</v>
      </c>
      <c r="AC56" s="1078"/>
      <c r="AD56" s="1078"/>
      <c r="AE56" s="1078"/>
      <c r="AF56" s="1079"/>
    </row>
    <row r="57" spans="1:40" ht="12.9" customHeight="1">
      <c r="D57" s="3"/>
      <c r="AB57" s="276"/>
      <c r="AC57" s="276"/>
      <c r="AD57" s="276"/>
      <c r="AE57" s="276"/>
      <c r="AF57" s="276"/>
    </row>
    <row r="58" spans="1:40" ht="12.9" customHeight="1">
      <c r="D58" s="3" t="s">
        <v>106</v>
      </c>
      <c r="AB58" s="1282">
        <f>AB48-AB56</f>
        <v>31965267</v>
      </c>
      <c r="AC58" s="1282"/>
      <c r="AD58" s="1282"/>
      <c r="AE58" s="1282"/>
      <c r="AF58" s="1282"/>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67" t="s">
        <v>1750</v>
      </c>
      <c r="B60" s="1667"/>
      <c r="C60" s="1667"/>
      <c r="D60" s="1667"/>
      <c r="E60" s="1667"/>
      <c r="F60" s="1667"/>
      <c r="G60" s="1667"/>
      <c r="H60" s="1667"/>
      <c r="I60" s="1667"/>
      <c r="J60" s="1667"/>
      <c r="K60" s="1667"/>
      <c r="L60" s="1667"/>
      <c r="M60" s="1667"/>
      <c r="N60" s="1667"/>
      <c r="O60" s="1667"/>
      <c r="P60" s="1667"/>
      <c r="Q60" s="1667"/>
      <c r="R60" s="1667"/>
      <c r="S60" s="1667"/>
      <c r="T60" s="1667"/>
      <c r="U60" s="1667"/>
      <c r="V60" s="1667"/>
      <c r="W60" s="1667"/>
      <c r="X60" s="1667"/>
      <c r="Y60" s="1667"/>
      <c r="Z60" s="1667"/>
      <c r="AA60" s="1667"/>
      <c r="AB60" s="1667"/>
      <c r="AC60" s="1667"/>
      <c r="AD60" s="1667"/>
      <c r="AE60" s="1667"/>
      <c r="AF60" s="1667"/>
      <c r="AG60" s="1667"/>
      <c r="AH60" s="1667"/>
      <c r="AI60" s="1667"/>
      <c r="AJ60" s="1667"/>
      <c r="AK60" s="1667"/>
      <c r="AL60" s="1667"/>
      <c r="AM60" s="1667"/>
      <c r="AN60" s="1667"/>
    </row>
    <row r="61" spans="1:40" ht="12.9" customHeight="1" thickTop="1">
      <c r="A61" s="1567"/>
      <c r="B61" s="1567"/>
      <c r="C61" s="1567"/>
      <c r="D61" s="1567"/>
      <c r="E61" s="1567"/>
      <c r="F61" s="1567"/>
      <c r="G61" s="1567"/>
      <c r="H61" s="1567"/>
      <c r="I61" s="1567"/>
      <c r="J61" s="1567"/>
      <c r="K61" s="1567"/>
      <c r="L61" s="1567"/>
      <c r="M61" s="1567"/>
      <c r="N61" s="1567"/>
      <c r="O61" s="1567"/>
      <c r="P61" s="1567"/>
      <c r="Q61" s="1567"/>
      <c r="R61" s="1567"/>
      <c r="S61" s="1567"/>
      <c r="T61" s="1567"/>
      <c r="U61" s="1567"/>
      <c r="V61" s="1567"/>
      <c r="W61" s="1567"/>
      <c r="X61" s="1567"/>
      <c r="Y61" s="1567"/>
      <c r="Z61" s="1567"/>
      <c r="AA61" s="1567"/>
      <c r="AB61" s="1567"/>
      <c r="AC61" s="1567"/>
      <c r="AD61" s="1567"/>
      <c r="AE61" s="1567"/>
      <c r="AF61" s="1567"/>
      <c r="AG61" s="1567"/>
      <c r="AH61" s="1567"/>
      <c r="AI61" s="1567"/>
      <c r="AJ61" s="1567"/>
      <c r="AK61" s="1567"/>
      <c r="AL61" s="1567"/>
      <c r="AM61" s="1567"/>
      <c r="AN61" s="1567"/>
    </row>
    <row r="62" spans="1:40" ht="12.9" customHeight="1">
      <c r="A62" s="3" t="s">
        <v>122</v>
      </c>
      <c r="C62" s="3" t="s">
        <v>509</v>
      </c>
      <c r="Y62" s="1245" t="s">
        <v>298</v>
      </c>
      <c r="Z62" s="1245"/>
      <c r="AA62" s="1245"/>
      <c r="AB62" s="1245"/>
      <c r="AC62" s="1245"/>
      <c r="AD62" s="1245" t="s">
        <v>41</v>
      </c>
      <c r="AE62" s="1245"/>
      <c r="AF62" s="1245"/>
      <c r="AG62" s="1245"/>
      <c r="AH62" s="1245"/>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73">
        <f>Y28</f>
        <v>0</v>
      </c>
      <c r="Z63" s="1661"/>
      <c r="AA63" s="1661"/>
      <c r="AB63" s="1661"/>
      <c r="AC63" s="1661"/>
      <c r="AD63" s="1273">
        <f>AI28</f>
        <v>0</v>
      </c>
      <c r="AE63" s="1661"/>
      <c r="AF63" s="1661"/>
      <c r="AG63" s="1661"/>
      <c r="AH63" s="1661"/>
    </row>
    <row r="64" spans="1:40" ht="12.9" customHeight="1">
      <c r="C64" s="3"/>
      <c r="E64" s="1668" t="s">
        <v>1289</v>
      </c>
      <c r="F64" s="1668"/>
      <c r="G64" s="1668"/>
      <c r="H64" s="1668"/>
      <c r="I64" s="1668"/>
      <c r="J64" s="1668"/>
      <c r="K64" s="1668"/>
      <c r="L64" s="1668"/>
      <c r="M64" s="1668"/>
      <c r="N64" s="1668"/>
      <c r="O64" s="1668"/>
      <c r="P64" s="1668"/>
      <c r="Q64" s="1668"/>
      <c r="R64" s="1668"/>
      <c r="S64" s="1668"/>
      <c r="T64" s="1668"/>
      <c r="U64" s="1668"/>
      <c r="V64" s="1668"/>
      <c r="W64" s="1668"/>
      <c r="X64" s="1668"/>
      <c r="Y64" s="1668"/>
      <c r="Z64" s="1668"/>
      <c r="AA64" s="1668"/>
      <c r="AB64" s="1668"/>
      <c r="AC64" s="1668"/>
      <c r="AD64" s="1668"/>
      <c r="AE64" s="1668"/>
      <c r="AF64" s="1668"/>
      <c r="AG64" s="1668"/>
      <c r="AH64" s="1668"/>
    </row>
    <row r="65" spans="1:34" ht="30.75" customHeight="1">
      <c r="C65" s="3"/>
      <c r="E65" s="1668"/>
      <c r="F65" s="1668"/>
      <c r="G65" s="1668"/>
      <c r="H65" s="1668"/>
      <c r="I65" s="1668"/>
      <c r="J65" s="1668"/>
      <c r="K65" s="1668"/>
      <c r="L65" s="1668"/>
      <c r="M65" s="1668"/>
      <c r="N65" s="1668"/>
      <c r="O65" s="1668"/>
      <c r="P65" s="1668"/>
      <c r="Q65" s="1668"/>
      <c r="R65" s="1668"/>
      <c r="S65" s="1668"/>
      <c r="T65" s="1668"/>
      <c r="U65" s="1668"/>
      <c r="V65" s="1668"/>
      <c r="W65" s="1668"/>
      <c r="X65" s="1668"/>
      <c r="Y65" s="1668"/>
      <c r="Z65" s="1668"/>
      <c r="AA65" s="1668"/>
      <c r="AB65" s="1668"/>
      <c r="AC65" s="1668"/>
      <c r="AD65" s="1668"/>
      <c r="AE65" s="1668"/>
      <c r="AF65" s="1668"/>
      <c r="AG65" s="1668"/>
      <c r="AH65" s="166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57">
        <v>0.3</v>
      </c>
      <c r="Z66" s="1657"/>
      <c r="AA66" s="1657"/>
      <c r="AB66" s="1657"/>
      <c r="AC66" s="1657"/>
      <c r="AD66" s="1657">
        <v>0.13</v>
      </c>
      <c r="AE66" s="1657"/>
      <c r="AF66" s="1657"/>
      <c r="AG66" s="1657"/>
      <c r="AH66" s="1657"/>
    </row>
    <row r="67" spans="1:34" ht="12.9" customHeight="1">
      <c r="C67" s="3"/>
      <c r="D67" s="3" t="s">
        <v>941</v>
      </c>
      <c r="Y67" s="1273">
        <f>ROUND(Y63*Y66,0)</f>
        <v>0</v>
      </c>
      <c r="Z67" s="1661"/>
      <c r="AA67" s="1661"/>
      <c r="AB67" s="1661"/>
      <c r="AC67" s="1661"/>
      <c r="AD67" s="1273" t="str">
        <f>IF(OR(Application!D211="At-Risk",Application!D211="At-Risk/Located in Rural Census Tract",Application!D214="At-Risk"),ROUND(AD63*AD66,0),"$0")</f>
        <v>$0</v>
      </c>
      <c r="AE67" s="1273"/>
      <c r="AF67" s="1273"/>
      <c r="AG67" s="1273"/>
      <c r="AH67" s="1273"/>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58"/>
      <c r="AC70" s="1659"/>
      <c r="AD70" s="1659"/>
      <c r="AE70" s="1659"/>
      <c r="AF70" s="1660"/>
    </row>
    <row r="71" spans="1:34" ht="12.9" customHeight="1">
      <c r="A71" s="3"/>
      <c r="C71" s="3"/>
      <c r="D71" s="3"/>
      <c r="E71" s="1662" t="s">
        <v>1745</v>
      </c>
      <c r="F71" s="1662"/>
      <c r="G71" s="1662"/>
      <c r="H71" s="1662"/>
      <c r="I71" s="1662"/>
      <c r="J71" s="1662"/>
      <c r="K71" s="1662"/>
      <c r="L71" s="1662"/>
      <c r="M71" s="1662"/>
      <c r="N71" s="1662"/>
      <c r="O71" s="1662"/>
      <c r="P71" s="1662"/>
      <c r="Q71" s="1662"/>
      <c r="R71" s="1662"/>
      <c r="S71" s="1662"/>
      <c r="T71" s="1662"/>
      <c r="U71" s="1662"/>
      <c r="V71" s="1662"/>
      <c r="W71" s="1662"/>
      <c r="X71" s="1662"/>
      <c r="Y71" s="1662"/>
      <c r="Z71" s="1662"/>
      <c r="AA71" s="253"/>
      <c r="AB71" s="253"/>
      <c r="AC71" s="253"/>
    </row>
    <row r="72" spans="1:34" ht="12.9" customHeight="1">
      <c r="A72" s="3"/>
      <c r="C72" s="3"/>
      <c r="D72" s="3"/>
      <c r="E72" s="1662"/>
      <c r="F72" s="1662"/>
      <c r="G72" s="1662"/>
      <c r="H72" s="1662"/>
      <c r="I72" s="1662"/>
      <c r="J72" s="1662"/>
      <c r="K72" s="1662"/>
      <c r="L72" s="1662"/>
      <c r="M72" s="1662"/>
      <c r="N72" s="1662"/>
      <c r="O72" s="1662"/>
      <c r="P72" s="1662"/>
      <c r="Q72" s="1662"/>
      <c r="R72" s="1662"/>
      <c r="S72" s="1662"/>
      <c r="T72" s="1662"/>
      <c r="U72" s="1662"/>
      <c r="V72" s="1662"/>
      <c r="W72" s="1662"/>
      <c r="X72" s="1662"/>
      <c r="Y72" s="1662"/>
      <c r="Z72" s="1662"/>
      <c r="AA72" s="253"/>
      <c r="AB72" s="253"/>
      <c r="AC72" s="253"/>
    </row>
    <row r="73" spans="1:34" ht="12.9" customHeight="1">
      <c r="A73" s="3"/>
      <c r="C73" s="3"/>
      <c r="D73" s="3"/>
      <c r="E73" s="1662"/>
      <c r="F73" s="1662"/>
      <c r="G73" s="1662"/>
      <c r="H73" s="1662"/>
      <c r="I73" s="1662"/>
      <c r="J73" s="1662"/>
      <c r="K73" s="1662"/>
      <c r="L73" s="1662"/>
      <c r="M73" s="1662"/>
      <c r="N73" s="1662"/>
      <c r="O73" s="1662"/>
      <c r="P73" s="1662"/>
      <c r="Q73" s="1662"/>
      <c r="R73" s="1662"/>
      <c r="S73" s="1662"/>
      <c r="T73" s="1662"/>
      <c r="U73" s="1662"/>
      <c r="V73" s="1662"/>
      <c r="W73" s="1662"/>
      <c r="X73" s="1662"/>
      <c r="Y73" s="1662"/>
      <c r="Z73" s="166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39">
        <f>ROUND(IF(ISERROR((AB58/AB70)),0,(AB58/AB70)),0)</f>
        <v>0</v>
      </c>
      <c r="AC75" s="1539"/>
      <c r="AD75" s="1539"/>
      <c r="AE75" s="1539"/>
      <c r="AF75" s="1539"/>
    </row>
    <row r="76" spans="1:34" ht="12.9" customHeight="1">
      <c r="C76" s="3"/>
      <c r="D76" s="3" t="s">
        <v>105</v>
      </c>
      <c r="AB76" s="1579">
        <f>IF((Y67+AD67&lt;AB75),Y67+AD67,AB75)</f>
        <v>0</v>
      </c>
      <c r="AC76" s="1580"/>
      <c r="AD76" s="1580"/>
      <c r="AE76" s="1580"/>
      <c r="AF76" s="1581"/>
    </row>
    <row r="77" spans="1:34" ht="12.9" customHeight="1">
      <c r="C77" s="3"/>
      <c r="D77" s="3" t="s">
        <v>942</v>
      </c>
      <c r="AB77" s="1656">
        <f>AB76*AB70</f>
        <v>0</v>
      </c>
      <c r="AC77" s="1656"/>
      <c r="AD77" s="1656"/>
      <c r="AE77" s="1656"/>
      <c r="AF77" s="1656"/>
    </row>
    <row r="78" spans="1:34" ht="12.9" customHeight="1">
      <c r="C78" s="3"/>
      <c r="D78" s="3"/>
      <c r="AB78" s="598"/>
      <c r="AC78" s="598"/>
      <c r="AD78" s="598"/>
      <c r="AE78" s="598"/>
      <c r="AF78" s="598"/>
    </row>
    <row r="79" spans="1:34" ht="12.9" customHeight="1">
      <c r="D79" s="3" t="s">
        <v>106</v>
      </c>
      <c r="AB79" s="1282">
        <f>AB48-(AB56+AB77)</f>
        <v>31965267</v>
      </c>
      <c r="AC79" s="1282"/>
      <c r="AD79" s="1282"/>
      <c r="AE79" s="1282"/>
      <c r="AF79" s="1282"/>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650000</v>
      </c>
      <c r="C5" s="329">
        <f>'Sources and Uses Budget'!C4</f>
        <v>650000</v>
      </c>
      <c r="D5" s="329">
        <f>'Sources and Uses Budget'!C4</f>
        <v>650000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650000</v>
      </c>
      <c r="C9" s="331">
        <f>SUM(C5:C8)</f>
        <v>650000</v>
      </c>
      <c r="D9" s="331">
        <f>SUM(D5:D8)</f>
        <v>650000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650000</v>
      </c>
      <c r="C13" s="331">
        <f>SUM(C9+C12)</f>
        <v>650000</v>
      </c>
      <c r="D13" s="331">
        <f>SUM(D9+D12)</f>
        <v>650000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5208171</v>
      </c>
      <c r="C30" s="329">
        <f>'Sources and Uses Budget'!C29</f>
        <v>5208171</v>
      </c>
      <c r="D30" s="329">
        <f>'Sources and Uses Budget'!C29</f>
        <v>5208171</v>
      </c>
      <c r="E30" s="331">
        <f t="shared" si="0"/>
        <v>0</v>
      </c>
      <c r="F30" s="330"/>
      <c r="G30" s="330"/>
    </row>
    <row r="31" spans="1:7" s="568" customFormat="1" ht="13.2">
      <c r="A31" s="239" t="s">
        <v>911</v>
      </c>
      <c r="B31" s="329">
        <f>'Sources and Uses Budget'!C30</f>
        <v>14035489</v>
      </c>
      <c r="C31" s="329">
        <f>'Sources and Uses Budget'!C30</f>
        <v>14035489</v>
      </c>
      <c r="D31" s="329">
        <f>'Sources and Uses Budget'!C30</f>
        <v>14035489</v>
      </c>
      <c r="E31" s="331">
        <f t="shared" si="0"/>
        <v>0</v>
      </c>
      <c r="F31" s="330"/>
      <c r="G31" s="330"/>
    </row>
    <row r="32" spans="1:7" s="568" customFormat="1" ht="13.2">
      <c r="A32" s="239" t="s">
        <v>912</v>
      </c>
      <c r="B32" s="329">
        <f>'Sources and Uses Budget'!C31</f>
        <v>1154620</v>
      </c>
      <c r="C32" s="329">
        <f>'Sources and Uses Budget'!C31</f>
        <v>1154620</v>
      </c>
      <c r="D32" s="329">
        <f>'Sources and Uses Budget'!C31</f>
        <v>1154620</v>
      </c>
      <c r="E32" s="331">
        <f t="shared" si="0"/>
        <v>0</v>
      </c>
      <c r="F32" s="330"/>
      <c r="G32" s="330"/>
    </row>
    <row r="33" spans="1:7" s="568" customFormat="1" ht="13.2">
      <c r="A33" s="239" t="s">
        <v>913</v>
      </c>
      <c r="B33" s="329">
        <f>'Sources and Uses Budget'!C32</f>
        <v>407966</v>
      </c>
      <c r="C33" s="329">
        <f>'Sources and Uses Budget'!C32</f>
        <v>407966</v>
      </c>
      <c r="D33" s="329">
        <f>'Sources and Uses Budget'!C32</f>
        <v>407966</v>
      </c>
      <c r="E33" s="331">
        <f t="shared" si="0"/>
        <v>0</v>
      </c>
      <c r="F33" s="330"/>
      <c r="G33" s="330"/>
    </row>
    <row r="34" spans="1:7" s="568" customFormat="1" ht="13.2">
      <c r="A34" s="239" t="s">
        <v>914</v>
      </c>
      <c r="B34" s="329">
        <f>'Sources and Uses Budget'!C33</f>
        <v>1223897</v>
      </c>
      <c r="C34" s="329">
        <f>'Sources and Uses Budget'!C33</f>
        <v>1223897</v>
      </c>
      <c r="D34" s="329">
        <f>'Sources and Uses Budget'!C33</f>
        <v>1223897</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771055</v>
      </c>
      <c r="C36" s="329">
        <f>'Sources and Uses Budget'!C35</f>
        <v>771055</v>
      </c>
      <c r="D36" s="329">
        <f>'Sources and Uses Budget'!C35</f>
        <v>771055</v>
      </c>
      <c r="E36" s="331">
        <f t="shared" si="0"/>
        <v>0</v>
      </c>
      <c r="F36" s="330"/>
      <c r="G36" s="330"/>
    </row>
    <row r="37" spans="1:7" s="568" customFormat="1" ht="13.2">
      <c r="A37" s="239" t="s">
        <v>1952</v>
      </c>
      <c r="B37" s="329">
        <f>'Sources and Uses Budget'!C36</f>
        <v>250000</v>
      </c>
      <c r="C37" s="329">
        <f>'Sources and Uses Budget'!C36</f>
        <v>250000</v>
      </c>
      <c r="D37" s="329">
        <f>'Sources and Uses Budget'!C36</f>
        <v>250000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23051198</v>
      </c>
      <c r="C39" s="894">
        <f>'Sources and Uses Budget'!C38</f>
        <v>23051198</v>
      </c>
      <c r="D39" s="894">
        <f>'Sources and Uses Budget'!C38</f>
        <v>23051198</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912925</v>
      </c>
      <c r="C41" s="329">
        <f>'Sources and Uses Budget'!C40</f>
        <v>912925</v>
      </c>
      <c r="D41" s="329">
        <f>'Sources and Uses Budget'!C40</f>
        <v>912925</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912925</v>
      </c>
      <c r="C43" s="894">
        <f>'Sources and Uses Budget'!C42</f>
        <v>912925</v>
      </c>
      <c r="D43" s="894">
        <f>'Sources and Uses Budget'!C42</f>
        <v>912925</v>
      </c>
      <c r="E43" s="331">
        <f>C43-B43</f>
        <v>0</v>
      </c>
      <c r="F43" s="330"/>
      <c r="G43" s="330"/>
    </row>
    <row r="44" spans="1:7" s="568" customFormat="1" ht="13.2">
      <c r="A44" s="887" t="s">
        <v>924</v>
      </c>
      <c r="B44" s="329">
        <f>'Sources and Uses Budget'!C43</f>
        <v>100000</v>
      </c>
      <c r="C44" s="329">
        <f>'Sources and Uses Budget'!C43</f>
        <v>100000</v>
      </c>
      <c r="D44" s="329">
        <f>'Sources and Uses Budget'!C43</f>
        <v>100000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850000</v>
      </c>
      <c r="C46" s="329">
        <f>'Sources and Uses Budget'!C45</f>
        <v>850000</v>
      </c>
      <c r="D46" s="329">
        <f>'Sources and Uses Budget'!C45</f>
        <v>850000</v>
      </c>
      <c r="E46" s="331">
        <f t="shared" si="0"/>
        <v>0</v>
      </c>
      <c r="F46" s="330"/>
      <c r="G46" s="330"/>
    </row>
    <row r="47" spans="1:7" s="568" customFormat="1" ht="13.2">
      <c r="A47" s="239" t="s">
        <v>927</v>
      </c>
      <c r="B47" s="329">
        <f>'Sources and Uses Budget'!C46</f>
        <v>196524</v>
      </c>
      <c r="C47" s="329">
        <f>'Sources and Uses Budget'!C46</f>
        <v>196524</v>
      </c>
      <c r="D47" s="329">
        <f>'Sources and Uses Budget'!C46</f>
        <v>196524</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13000</v>
      </c>
      <c r="C51" s="329">
        <f>'Sources and Uses Budget'!C50</f>
        <v>13000</v>
      </c>
      <c r="D51" s="329">
        <f>'Sources and Uses Budget'!C50</f>
        <v>13000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1154524</v>
      </c>
      <c r="C54" s="894">
        <f>'Sources and Uses Budget'!C53</f>
        <v>1154524</v>
      </c>
      <c r="D54" s="894">
        <f>'Sources and Uses Budget'!C53</f>
        <v>1154524</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25883647</v>
      </c>
      <c r="C63" s="894">
        <f>'Sources and Uses Budget'!C62</f>
        <v>25883647</v>
      </c>
      <c r="D63" s="894">
        <f>'Sources and Uses Budget'!C62</f>
        <v>25883647</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115000</v>
      </c>
      <c r="C70" s="894">
        <f>'Sources and Uses Budget'!C69</f>
        <v>115000</v>
      </c>
      <c r="D70" s="894">
        <f>'Sources and Uses Budget'!C69</f>
        <v>115000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30000</v>
      </c>
      <c r="C72" s="329">
        <f>'Sources and Uses Budget'!C71</f>
        <v>30000</v>
      </c>
      <c r="D72" s="329">
        <f>'Sources and Uses Budget'!C71</f>
        <v>30000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171211</v>
      </c>
      <c r="C75" s="329">
        <f>'Sources and Uses Budget'!C74</f>
        <v>171211</v>
      </c>
      <c r="D75" s="329">
        <f>'Sources and Uses Budget'!C74</f>
        <v>171211</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201211</v>
      </c>
      <c r="C77" s="894">
        <f>'Sources and Uses Budget'!C76</f>
        <v>201211</v>
      </c>
      <c r="D77" s="894">
        <f>'Sources and Uses Budget'!C76</f>
        <v>201211</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1152560</v>
      </c>
      <c r="C79" s="329">
        <f>'Sources and Uses Budget'!C78</f>
        <v>1152560</v>
      </c>
      <c r="D79" s="329">
        <f>'Sources and Uses Budget'!C78</f>
        <v>1152560</v>
      </c>
      <c r="E79" s="331">
        <f t="shared" ref="E79:E105" si="2">C79-B79</f>
        <v>0</v>
      </c>
      <c r="F79" s="330"/>
      <c r="G79" s="330"/>
    </row>
    <row r="80" spans="1:7" s="568" customFormat="1" ht="13.2">
      <c r="A80" s="888" t="s">
        <v>538</v>
      </c>
      <c r="B80" s="329">
        <f>'Sources and Uses Budget'!C79</f>
        <v>178112</v>
      </c>
      <c r="C80" s="329">
        <f>'Sources and Uses Budget'!C79</f>
        <v>178112</v>
      </c>
      <c r="D80" s="329">
        <f>'Sources and Uses Budget'!C79</f>
        <v>178112</v>
      </c>
      <c r="E80" s="331">
        <f t="shared" si="2"/>
        <v>0</v>
      </c>
      <c r="F80" s="330"/>
      <c r="G80" s="330"/>
    </row>
    <row r="81" spans="1:7" s="568" customFormat="1" ht="13.2">
      <c r="A81" s="887" t="s">
        <v>1742</v>
      </c>
      <c r="B81" s="894">
        <f>'Sources and Uses Budget'!C80</f>
        <v>1330672</v>
      </c>
      <c r="C81" s="894">
        <f>'Sources and Uses Budget'!C80</f>
        <v>1330672</v>
      </c>
      <c r="D81" s="894">
        <f>'Sources and Uses Budget'!C80</f>
        <v>1330672</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89480</v>
      </c>
      <c r="C83" s="329">
        <f>'Sources and Uses Budget'!C82</f>
        <v>89480</v>
      </c>
      <c r="D83" s="329">
        <f>'Sources and Uses Budget'!C82</f>
        <v>89480</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1042543</v>
      </c>
      <c r="C85" s="329">
        <f>'Sources and Uses Budget'!C84</f>
        <v>1042543</v>
      </c>
      <c r="D85" s="329">
        <f>'Sources and Uses Budget'!C84</f>
        <v>1042543</v>
      </c>
      <c r="E85" s="331">
        <f t="shared" si="2"/>
        <v>0</v>
      </c>
      <c r="F85" s="330"/>
      <c r="G85" s="330"/>
    </row>
    <row r="86" spans="1:7" s="568" customFormat="1" ht="13.2">
      <c r="A86" s="239" t="s">
        <v>518</v>
      </c>
      <c r="B86" s="329">
        <f>'Sources and Uses Budget'!C85</f>
        <v>359107</v>
      </c>
      <c r="C86" s="329">
        <f>'Sources and Uses Budget'!C85</f>
        <v>359107</v>
      </c>
      <c r="D86" s="329">
        <f>'Sources and Uses Budget'!C85</f>
        <v>359107</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56107</v>
      </c>
      <c r="C88" s="329">
        <f>'Sources and Uses Budget'!C87</f>
        <v>56107</v>
      </c>
      <c r="D88" s="329">
        <f>'Sources and Uses Budget'!C87</f>
        <v>56107</v>
      </c>
      <c r="E88" s="331">
        <f t="shared" si="2"/>
        <v>0</v>
      </c>
      <c r="F88" s="330"/>
      <c r="G88" s="330"/>
    </row>
    <row r="89" spans="1:7" s="568" customFormat="1" ht="13.2">
      <c r="A89" s="239" t="s">
        <v>521</v>
      </c>
      <c r="B89" s="329">
        <f>'Sources and Uses Budget'!C88</f>
        <v>100000</v>
      </c>
      <c r="C89" s="329">
        <f>'Sources and Uses Budget'!C88</f>
        <v>100000</v>
      </c>
      <c r="D89" s="329">
        <f>'Sources and Uses Budget'!C88</f>
        <v>100000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175000</v>
      </c>
      <c r="C93" s="329">
        <f>'Sources and Uses Budget'!C92</f>
        <v>175000</v>
      </c>
      <c r="D93" s="329">
        <f>'Sources and Uses Budget'!C92</f>
        <v>175000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1934737</v>
      </c>
      <c r="C96" s="894">
        <f>'Sources and Uses Budget'!C95</f>
        <v>1934737</v>
      </c>
      <c r="D96" s="894">
        <f>'Sources and Uses Budget'!C95</f>
        <v>1934737</v>
      </c>
      <c r="E96" s="331">
        <f t="shared" si="2"/>
        <v>0</v>
      </c>
      <c r="F96" s="330"/>
      <c r="G96" s="330"/>
    </row>
    <row r="97" spans="1:7" s="568" customFormat="1" ht="13.2">
      <c r="A97" s="243" t="s">
        <v>524</v>
      </c>
      <c r="B97" s="894">
        <f>'Sources and Uses Budget'!C96</f>
        <v>29465267</v>
      </c>
      <c r="C97" s="894">
        <f>'Sources and Uses Budget'!C96</f>
        <v>29465267</v>
      </c>
      <c r="D97" s="894">
        <f>'Sources and Uses Budget'!C96</f>
        <v>29465267</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31965267</v>
      </c>
      <c r="C105" s="894">
        <f>'Sources and Uses Budget'!C104</f>
        <v>31965267</v>
      </c>
      <c r="D105" s="894">
        <f>'Sources and Uses Budget'!C104</f>
        <v>31965267</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2024-07-01T21:07:02Z</cp:lastPrinted>
  <dcterms:created xsi:type="dcterms:W3CDTF">2007-12-27T18:26:28Z</dcterms:created>
  <dcterms:modified xsi:type="dcterms:W3CDTF">2024-07-03T19:54:29Z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2024-06-23T20:41:30Z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c6f4073d-3301-46f4-b3a0-eb0afafc4690</vt:lpwstr>
  </property>
  <property fmtid="{D5CDD505-2E9C-101B-9397-08002B2CF9AE}" pid="8" name="MSIP_Label_cac78fa3-8c3c-40be-95d9-faf236c08e18_ContentBits">
    <vt:lpwstr>0</vt:lpwstr>
  </property>
</Properties>
</file>