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67CB0130-0535-4D5B-B11A-EDB5257EF3AA}" xr6:coauthVersionLast="47" xr6:coauthVersionMax="47" xr10:uidLastSave="{00000000-0000-0000-0000-000000000000}"/>
  <bookViews>
    <workbookView xWindow="-26460" yWindow="1155" windowWidth="17280" windowHeight="89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Application!$A$1:$AT$122</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4" i="3" l="1"/>
  <c r="E92" i="25"/>
  <c r="E91" i="25"/>
  <c r="E90" i="25"/>
  <c r="F97" i="18"/>
  <c r="C97" i="18"/>
  <c r="F93" i="18"/>
  <c r="F92" i="18"/>
  <c r="F91" i="18"/>
  <c r="F90" i="18"/>
  <c r="F89" i="18"/>
  <c r="F88" i="18"/>
  <c r="F87" i="18"/>
  <c r="F85" i="18"/>
  <c r="F84" i="18"/>
  <c r="F83" i="18"/>
  <c r="F82" i="18"/>
  <c r="C93" i="18"/>
  <c r="C92" i="18"/>
  <c r="C91" i="18"/>
  <c r="C90" i="18"/>
  <c r="C89" i="18"/>
  <c r="C88" i="18"/>
  <c r="C87" i="18"/>
  <c r="C86" i="18"/>
  <c r="C85" i="18"/>
  <c r="C84" i="18"/>
  <c r="C83" i="18"/>
  <c r="C82" i="18"/>
  <c r="C81" i="18"/>
  <c r="F78" i="18"/>
  <c r="F77" i="18"/>
  <c r="C78" i="18"/>
  <c r="C77" i="18"/>
  <c r="C74" i="18"/>
  <c r="C73" i="18"/>
  <c r="C72" i="18"/>
  <c r="C71" i="18"/>
  <c r="C70" i="18"/>
  <c r="F67" i="18"/>
  <c r="F66" i="18"/>
  <c r="F65" i="18"/>
  <c r="F64" i="18"/>
  <c r="F63" i="18"/>
  <c r="C67" i="18"/>
  <c r="C66" i="18"/>
  <c r="C65" i="18"/>
  <c r="C64" i="18"/>
  <c r="C63" i="18"/>
  <c r="F51" i="18"/>
  <c r="F50" i="18"/>
  <c r="F49" i="18"/>
  <c r="F48" i="18"/>
  <c r="F47" i="18"/>
  <c r="F46" i="18"/>
  <c r="F45" i="18"/>
  <c r="F44" i="18"/>
  <c r="F42" i="18"/>
  <c r="F40" i="18"/>
  <c r="F39" i="18"/>
  <c r="F36" i="18"/>
  <c r="F35" i="18"/>
  <c r="F34" i="18"/>
  <c r="F33" i="18"/>
  <c r="F32" i="18"/>
  <c r="F31" i="18"/>
  <c r="F30" i="18"/>
  <c r="F29" i="18"/>
  <c r="F28" i="18"/>
  <c r="C56" i="18"/>
  <c r="C55" i="18"/>
  <c r="C51" i="18"/>
  <c r="C50" i="18"/>
  <c r="C49" i="18"/>
  <c r="C48" i="18"/>
  <c r="C47" i="18"/>
  <c r="C46" i="18"/>
  <c r="C45" i="18"/>
  <c r="C44" i="18"/>
  <c r="C42" i="18"/>
  <c r="C40" i="18"/>
  <c r="C39" i="18"/>
  <c r="C36" i="18"/>
  <c r="C35" i="18"/>
  <c r="C34" i="18"/>
  <c r="C33" i="18"/>
  <c r="C32" i="18"/>
  <c r="C31" i="18"/>
  <c r="C30" i="18"/>
  <c r="C29" i="18"/>
  <c r="C28" i="18"/>
  <c r="C9" i="18"/>
  <c r="C4" i="18"/>
  <c r="S98" i="4" l="1"/>
  <c r="E94" i="4"/>
  <c r="E42" i="25" l="1"/>
  <c r="S91" i="4" l="1"/>
  <c r="S90" i="4"/>
  <c r="S89" i="4"/>
  <c r="S88" i="4"/>
  <c r="S85" i="4"/>
  <c r="S84" i="4"/>
  <c r="S83" i="4"/>
  <c r="S78" i="4"/>
  <c r="S68" i="4"/>
  <c r="S67" i="4"/>
  <c r="S66" i="4"/>
  <c r="S65" i="4"/>
  <c r="S64" i="4"/>
  <c r="S52" i="4"/>
  <c r="S51" i="4"/>
  <c r="S49" i="4"/>
  <c r="S48" i="4"/>
  <c r="S47" i="4"/>
  <c r="S46" i="4"/>
  <c r="S43" i="4"/>
  <c r="S41" i="4"/>
  <c r="S40" i="4"/>
  <c r="S37" i="4"/>
  <c r="S36" i="4"/>
  <c r="S35" i="4"/>
  <c r="S34" i="4"/>
  <c r="S33" i="4"/>
  <c r="S32" i="4"/>
  <c r="S31" i="4"/>
  <c r="S29" i="4"/>
  <c r="G37" i="4"/>
  <c r="E98"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c r="C37" i="4"/>
  <c r="C85" i="4"/>
  <c r="C45" i="4"/>
  <c r="L937" i="3"/>
  <c r="AA923" i="3"/>
  <c r="AC865" i="3"/>
  <c r="W848" i="3"/>
  <c r="W845" i="3"/>
  <c r="W832" i="3"/>
  <c r="Q621" i="3" l="1"/>
  <c r="AG44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T22" i="5"/>
  <c r="BF699" i="3" l="1"/>
  <c r="BG699" i="3" s="1"/>
  <c r="BF698" i="3"/>
  <c r="AZ72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E85" i="15" s="1"/>
  <c r="D85" i="15"/>
  <c r="B86" i="15"/>
  <c r="C86" i="15"/>
  <c r="E86" i="15" s="1"/>
  <c r="D86" i="15"/>
  <c r="B87" i="15"/>
  <c r="C87" i="15"/>
  <c r="E87" i="15" s="1"/>
  <c r="D87" i="15"/>
  <c r="B88" i="15"/>
  <c r="C88" i="15"/>
  <c r="D88" i="15"/>
  <c r="B89" i="15"/>
  <c r="C89" i="15"/>
  <c r="D89" i="15"/>
  <c r="B90" i="15"/>
  <c r="C90" i="15"/>
  <c r="E90" i="15" s="1"/>
  <c r="D90" i="15"/>
  <c r="B91" i="15"/>
  <c r="C91" i="15"/>
  <c r="D91" i="15"/>
  <c r="B92" i="15"/>
  <c r="C92" i="15"/>
  <c r="E92" i="15" s="1"/>
  <c r="D92" i="15"/>
  <c r="B93" i="15"/>
  <c r="C93" i="15"/>
  <c r="D93" i="15"/>
  <c r="B94" i="15"/>
  <c r="C94" i="15"/>
  <c r="E94" i="15" s="1"/>
  <c r="D94" i="15"/>
  <c r="B95" i="15"/>
  <c r="C95" i="15"/>
  <c r="E95" i="15" s="1"/>
  <c r="D95" i="15"/>
  <c r="E93"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E57" i="15" s="1"/>
  <c r="D57" i="15"/>
  <c r="B58" i="15"/>
  <c r="E58" i="15" s="1"/>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E50" i="15" s="1"/>
  <c r="C50" i="15"/>
  <c r="D50" i="15"/>
  <c r="B51" i="15"/>
  <c r="C51" i="15"/>
  <c r="D51" i="15"/>
  <c r="B52" i="15"/>
  <c r="C52" i="15"/>
  <c r="D52" i="15"/>
  <c r="B53" i="15"/>
  <c r="E53" i="15" s="1"/>
  <c r="C53" i="15"/>
  <c r="D53" i="15"/>
  <c r="D46" i="15"/>
  <c r="C46" i="15"/>
  <c r="E46" i="15" s="1"/>
  <c r="B46" i="15"/>
  <c r="B44" i="15"/>
  <c r="C44" i="15"/>
  <c r="E44" i="15" s="1"/>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E34" i="15" s="1"/>
  <c r="C34" i="15"/>
  <c r="D34" i="15"/>
  <c r="B35" i="15"/>
  <c r="C35" i="15"/>
  <c r="D35" i="15"/>
  <c r="B36" i="15"/>
  <c r="C36" i="15"/>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B12" i="15" s="1"/>
  <c r="C10" i="15"/>
  <c r="E10"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67" i="15"/>
  <c r="E89" i="15"/>
  <c r="E16" i="15"/>
  <c r="E7" i="15"/>
  <c r="E51" i="15"/>
  <c r="E61" i="15"/>
  <c r="E88" i="15"/>
  <c r="E84" i="15"/>
  <c r="E14" i="15"/>
  <c r="E21" i="15"/>
  <c r="E28" i="15"/>
  <c r="E8" i="15"/>
  <c r="E52" i="15"/>
  <c r="E48" i="15"/>
  <c r="E19" i="15"/>
  <c r="E42" i="15"/>
  <c r="E72" i="15"/>
  <c r="E6" i="15"/>
  <c r="E23" i="15"/>
  <c r="E41" i="15"/>
  <c r="C9" i="15"/>
  <c r="E11" i="15"/>
  <c r="E35" i="15"/>
  <c r="E36" i="15"/>
  <c r="E15"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3" i="15" s="1"/>
  <c r="C53" i="4"/>
  <c r="B52" i="18" s="1"/>
  <c r="C61" i="4"/>
  <c r="C62" i="15" s="1"/>
  <c r="C69" i="4"/>
  <c r="B68" i="18" s="1"/>
  <c r="C76" i="4"/>
  <c r="B76" i="4" s="1"/>
  <c r="C80" i="4"/>
  <c r="B79" i="18" s="1"/>
  <c r="C95" i="4"/>
  <c r="C96" i="15" s="1"/>
  <c r="C103" i="4"/>
  <c r="C104" i="15" s="1"/>
  <c r="C66" i="25"/>
  <c r="Y20" i="5"/>
  <c r="AI20" i="5"/>
  <c r="S26" i="4"/>
  <c r="S42" i="4"/>
  <c r="S69" i="4"/>
  <c r="F25" i="18"/>
  <c r="F37" i="18"/>
  <c r="F41" i="18"/>
  <c r="F52" i="18"/>
  <c r="F68" i="18"/>
  <c r="F79" i="18"/>
  <c r="F94" i="18"/>
  <c r="F102" i="18"/>
  <c r="T20" i="5"/>
  <c r="T26" i="4"/>
  <c r="T38" i="4"/>
  <c r="T42" i="4"/>
  <c r="T53" i="4"/>
  <c r="T11" i="4"/>
  <c r="H11" i="18" s="1"/>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E93" i="18" s="1"/>
  <c r="R82" i="4"/>
  <c r="R84" i="4"/>
  <c r="R85" i="4"/>
  <c r="R86" i="4"/>
  <c r="R87" i="4"/>
  <c r="R88" i="4"/>
  <c r="R89" i="4"/>
  <c r="R90" i="4"/>
  <c r="R91" i="4"/>
  <c r="R92" i="4"/>
  <c r="S92" i="4" s="1"/>
  <c r="R60" i="4"/>
  <c r="R59" i="4"/>
  <c r="R58" i="4"/>
  <c r="R57" i="4"/>
  <c r="R56" i="4"/>
  <c r="R52" i="4"/>
  <c r="R51" i="4"/>
  <c r="R50" i="4"/>
  <c r="S50" i="4" s="1"/>
  <c r="S53" i="4" s="1"/>
  <c r="E52" i="18" s="1"/>
  <c r="R49" i="4"/>
  <c r="R48" i="4"/>
  <c r="R47" i="4"/>
  <c r="R46" i="4"/>
  <c r="R45" i="4"/>
  <c r="R43" i="4"/>
  <c r="R41" i="4"/>
  <c r="R40" i="4"/>
  <c r="R42" i="4" s="1"/>
  <c r="R37" i="4"/>
  <c r="R35" i="4"/>
  <c r="R34" i="4"/>
  <c r="R33" i="4"/>
  <c r="R32" i="4"/>
  <c r="R30" i="4"/>
  <c r="S30" i="4" s="1"/>
  <c r="S38" i="4" s="1"/>
  <c r="R31" i="4"/>
  <c r="R29" i="4"/>
  <c r="R27" i="4"/>
  <c r="R25" i="4"/>
  <c r="R23" i="4"/>
  <c r="R22" i="4"/>
  <c r="R21" i="4"/>
  <c r="R20" i="4"/>
  <c r="R19" i="4"/>
  <c r="R18" i="4"/>
  <c r="R17" i="4"/>
  <c r="R15" i="4"/>
  <c r="R14" i="4"/>
  <c r="R13" i="4"/>
  <c r="R7" i="4"/>
  <c r="R6" i="4"/>
  <c r="D5" i="15"/>
  <c r="D9" i="15" s="1"/>
  <c r="D6" i="15"/>
  <c r="D7" i="15"/>
  <c r="D8" i="15"/>
  <c r="D10" i="15"/>
  <c r="D11" i="15"/>
  <c r="D14" i="15"/>
  <c r="D15" i="15"/>
  <c r="D16" i="15"/>
  <c r="D18" i="15"/>
  <c r="E41" i="18"/>
  <c r="E68"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C43" i="15"/>
  <c r="F12" i="4"/>
  <c r="B27" i="15"/>
  <c r="D27" i="15"/>
  <c r="C27" i="15"/>
  <c r="B81" i="15"/>
  <c r="D81" i="15"/>
  <c r="B11" i="4"/>
  <c r="B8" i="4"/>
  <c r="B12" i="4" s="1"/>
  <c r="T62" i="4"/>
  <c r="T96" i="4" s="1"/>
  <c r="B62" i="15"/>
  <c r="B11" i="18"/>
  <c r="G52" i="25"/>
  <c r="AB47" i="26"/>
  <c r="I61" i="18"/>
  <c r="I95" i="18"/>
  <c r="I103" i="18"/>
  <c r="I105" i="18"/>
  <c r="J61" i="18"/>
  <c r="J95" i="18"/>
  <c r="J103" i="18"/>
  <c r="J105" i="18"/>
  <c r="K12" i="4"/>
  <c r="B42" i="4"/>
  <c r="J12" i="4"/>
  <c r="R11" i="4"/>
  <c r="R8" i="4"/>
  <c r="D12" i="15"/>
  <c r="M62" i="4"/>
  <c r="M96" i="4"/>
  <c r="M104" i="4"/>
  <c r="J62" i="4"/>
  <c r="J96" i="4"/>
  <c r="J104" i="4"/>
  <c r="C12" i="4"/>
  <c r="B12" i="18" s="1"/>
  <c r="R61" i="4"/>
  <c r="F62" i="4"/>
  <c r="F96" i="4" s="1"/>
  <c r="F104" i="4" s="1"/>
  <c r="O62" i="4"/>
  <c r="O96" i="4"/>
  <c r="O104" i="4"/>
  <c r="N62" i="4"/>
  <c r="N96" i="4"/>
  <c r="N104" i="4"/>
  <c r="D62" i="4"/>
  <c r="D96" i="4"/>
  <c r="D104" i="4"/>
  <c r="B8" i="18"/>
  <c r="R26" i="4"/>
  <c r="L62" i="4"/>
  <c r="L96" i="4"/>
  <c r="L104" i="4"/>
  <c r="H12" i="4"/>
  <c r="Q62" i="4"/>
  <c r="Q96" i="4"/>
  <c r="Q104" i="4"/>
  <c r="K62" i="4"/>
  <c r="K96" i="4"/>
  <c r="K104" i="4"/>
  <c r="I62" i="4"/>
  <c r="I96" i="4"/>
  <c r="I104" i="4"/>
  <c r="H62" i="4"/>
  <c r="H96" i="4"/>
  <c r="H104" i="4"/>
  <c r="M12" i="4"/>
  <c r="D12" i="18"/>
  <c r="P62" i="4"/>
  <c r="P96" i="4"/>
  <c r="P104" i="4"/>
  <c r="G61" i="18"/>
  <c r="G95" i="18"/>
  <c r="G103" i="18"/>
  <c r="G105" i="18"/>
  <c r="F61" i="18"/>
  <c r="D61" i="18"/>
  <c r="D95" i="18"/>
  <c r="D103" i="18"/>
  <c r="T24" i="27"/>
  <c r="T24" i="26"/>
  <c r="F95" i="18" l="1"/>
  <c r="F103" i="18" s="1"/>
  <c r="F105" i="18" s="1"/>
  <c r="C12" i="18"/>
  <c r="C61" i="18"/>
  <c r="C95" i="18" s="1"/>
  <c r="C103" i="18" s="1"/>
  <c r="B102" i="18"/>
  <c r="R103" i="4"/>
  <c r="R80" i="4"/>
  <c r="S79" i="4"/>
  <c r="G98" i="25"/>
  <c r="D100" i="25" s="1"/>
  <c r="D102" i="25" s="1"/>
  <c r="D104" i="25" s="1"/>
  <c r="D110" i="25" s="1"/>
  <c r="G38" i="25" s="1"/>
  <c r="G53" i="25" s="1"/>
  <c r="G12" i="4"/>
  <c r="E9" i="15"/>
  <c r="E5" i="15"/>
  <c r="E83" i="15"/>
  <c r="B75" i="18"/>
  <c r="B77" i="15"/>
  <c r="R76" i="4"/>
  <c r="D77" i="15"/>
  <c r="S62" i="4"/>
  <c r="E61" i="18" s="1"/>
  <c r="E37" i="18"/>
  <c r="H95" i="18"/>
  <c r="T104" i="4"/>
  <c r="H61" i="18"/>
  <c r="B54" i="15"/>
  <c r="R53" i="4"/>
  <c r="R62" i="4" s="1"/>
  <c r="B13" i="15"/>
  <c r="C12" i="15"/>
  <c r="D13" i="15"/>
  <c r="G62" i="4"/>
  <c r="R38" i="4"/>
  <c r="E62" i="4"/>
  <c r="B96" i="15"/>
  <c r="E96" i="15" s="1"/>
  <c r="B95" i="4"/>
  <c r="B94" i="18"/>
  <c r="D96" i="15"/>
  <c r="C81" i="15"/>
  <c r="E81" i="15" s="1"/>
  <c r="C77" i="15"/>
  <c r="E77" i="15" s="1"/>
  <c r="B69" i="4"/>
  <c r="D70" i="15"/>
  <c r="C70" i="15"/>
  <c r="B70" i="15"/>
  <c r="E62" i="15"/>
  <c r="D62" i="15"/>
  <c r="C54" i="15"/>
  <c r="E54" i="15" s="1"/>
  <c r="D54" i="15"/>
  <c r="B53" i="4"/>
  <c r="E43" i="15"/>
  <c r="C62" i="4"/>
  <c r="C96" i="4" s="1"/>
  <c r="B95" i="18" s="1"/>
  <c r="D43" i="15"/>
  <c r="B41" i="18"/>
  <c r="B37" i="18"/>
  <c r="B38" i="4"/>
  <c r="B39" i="15"/>
  <c r="C39" i="15"/>
  <c r="D39" i="15"/>
  <c r="R12" i="4"/>
  <c r="AC28" i="9"/>
  <c r="BG730" i="3"/>
  <c r="AM730" i="3" s="1"/>
  <c r="AP93" i="6"/>
  <c r="AP97" i="6" s="1"/>
  <c r="G33" i="9"/>
  <c r="I33" i="9" s="1"/>
  <c r="K33" i="9" s="1"/>
  <c r="M33" i="9" s="1"/>
  <c r="O33" i="9" s="1"/>
  <c r="Q33" i="9" s="1"/>
  <c r="S33" i="9" s="1"/>
  <c r="U33" i="9" s="1"/>
  <c r="W33" i="9" s="1"/>
  <c r="Y33" i="9" s="1"/>
  <c r="AA33" i="9" s="1"/>
  <c r="AC33" i="9" s="1"/>
  <c r="AE33" i="9" s="1"/>
  <c r="AG33" i="9" s="1"/>
  <c r="AO635" i="3"/>
  <c r="AM551" i="3" s="1"/>
  <c r="AM561" i="3"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3" i="4" l="1"/>
  <c r="E102" i="18" s="1"/>
  <c r="E97" i="18"/>
  <c r="S80" i="4"/>
  <c r="E79" i="18" s="1"/>
  <c r="E78" i="18"/>
  <c r="H103" i="18"/>
  <c r="T106" i="4"/>
  <c r="H105" i="18" s="1"/>
  <c r="AI11" i="5" s="1"/>
  <c r="AI23" i="5" s="1"/>
  <c r="AI26" i="5" s="1"/>
  <c r="E12" i="15"/>
  <c r="C13" i="15"/>
  <c r="E13" i="15" s="1"/>
  <c r="E70" i="15"/>
  <c r="B62" i="4"/>
  <c r="D63" i="15"/>
  <c r="B61" i="18"/>
  <c r="B97" i="15"/>
  <c r="B96" i="4"/>
  <c r="C97" i="15"/>
  <c r="B63" i="15"/>
  <c r="C63" i="15"/>
  <c r="C104" i="4"/>
  <c r="D97" i="15"/>
  <c r="E39" i="15"/>
  <c r="AS355" i="6"/>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C448" i="3" l="1"/>
  <c r="AD11" i="26"/>
  <c r="AD23" i="26" s="1"/>
  <c r="AD26" i="26" s="1"/>
  <c r="AD28" i="26" s="1"/>
  <c r="AI11" i="26"/>
  <c r="AI23" i="26" s="1"/>
  <c r="AI26" i="26" s="1"/>
  <c r="AI28" i="26" s="1"/>
  <c r="AD63" i="26" s="1"/>
  <c r="AD11" i="27"/>
  <c r="AD23" i="27" s="1"/>
  <c r="AD26" i="27" s="1"/>
  <c r="AD28" i="27" s="1"/>
  <c r="AD11" i="5"/>
  <c r="AD23" i="5" s="1"/>
  <c r="AD26" i="5" s="1"/>
  <c r="AD28" i="5" s="1"/>
  <c r="AI11" i="27"/>
  <c r="AI23" i="27" s="1"/>
  <c r="AI26" i="27" s="1"/>
  <c r="AI28" i="27" s="1"/>
  <c r="AD63" i="27" s="1"/>
  <c r="E63" i="15"/>
  <c r="E97" i="15"/>
  <c r="B103" i="18"/>
  <c r="B104" i="4"/>
  <c r="B105" i="15"/>
  <c r="C105" i="15"/>
  <c r="D105" i="15"/>
  <c r="AO197" i="6"/>
  <c r="AP192" i="6" s="1"/>
  <c r="AJ206" i="6" s="1"/>
  <c r="AK283" i="6" s="1"/>
  <c r="T703" i="6" s="1"/>
  <c r="J58" i="25"/>
  <c r="AB46" i="5"/>
  <c r="AB48" i="5" s="1"/>
  <c r="AB53" i="5" s="1"/>
  <c r="AB54" i="5" s="1"/>
  <c r="AI28" i="5"/>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7" i="3" l="1"/>
  <c r="F450" i="3" s="1"/>
  <c r="AB46" i="26"/>
  <c r="AB48" i="26" s="1"/>
  <c r="AB53" i="26" s="1"/>
  <c r="AB54" i="26" s="1"/>
  <c r="AB46" i="27"/>
  <c r="AB48" i="27" s="1"/>
  <c r="AB53" i="27" s="1"/>
  <c r="AB54" i="27"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69" i="3" l="1"/>
  <c r="AJ988"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4" i="9" l="1"/>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93" i="4"/>
  <c r="E95" i="4" s="1"/>
  <c r="E96" i="4" s="1"/>
  <c r="E104" i="4" s="1"/>
  <c r="G95" i="4"/>
  <c r="G96" i="4" s="1"/>
  <c r="G104" i="4" s="1"/>
  <c r="R93" i="4" l="1"/>
  <c r="S93" i="4" s="1"/>
  <c r="S95" i="4"/>
  <c r="E92" i="18"/>
  <c r="R95" i="4"/>
  <c r="R96" i="4" s="1"/>
  <c r="R104" i="4" s="1"/>
  <c r="S96" i="4" l="1"/>
  <c r="E94" i="18"/>
  <c r="S104" i="4" l="1"/>
  <c r="E95" i="18"/>
  <c r="S106" i="4" l="1"/>
  <c r="E103" i="18"/>
  <c r="AC449" i="3" l="1"/>
  <c r="X1024" i="3"/>
  <c r="X1025" i="3" s="1"/>
  <c r="D1026" i="3" s="1"/>
  <c r="E105" i="18"/>
  <c r="T11" i="27" l="1"/>
  <c r="T23" i="27" s="1"/>
  <c r="Y11" i="27"/>
  <c r="Y23" i="27" s="1"/>
  <c r="Y26" i="27" s="1"/>
  <c r="Y28" i="27" s="1"/>
  <c r="Y63" i="27" s="1"/>
  <c r="Y67" i="27" s="1"/>
  <c r="T11" i="26"/>
  <c r="T23" i="26" s="1"/>
  <c r="T11" i="5"/>
  <c r="Y11" i="26"/>
  <c r="Y23" i="26" s="1"/>
  <c r="Y26" i="26" s="1"/>
  <c r="Y28" i="26" s="1"/>
  <c r="Y63" i="26" s="1"/>
  <c r="Y67" i="26" s="1"/>
  <c r="Y11" i="5"/>
  <c r="Y23" i="5" s="1"/>
  <c r="Y26" i="5" s="1"/>
  <c r="Y28" i="5" s="1"/>
  <c r="Y63" i="5" s="1"/>
  <c r="Y67" i="5" s="1"/>
  <c r="T23" i="5" l="1"/>
  <c r="BE16" i="28"/>
  <c r="AD38" i="26"/>
  <c r="AD40" i="26" s="1"/>
  <c r="T26" i="26"/>
  <c r="T28" i="26" s="1"/>
  <c r="T29" i="26" s="1"/>
  <c r="Y38" i="26"/>
  <c r="Y40" i="26" s="1"/>
  <c r="T26" i="27"/>
  <c r="T28" i="27" s="1"/>
  <c r="T29" i="27" s="1"/>
  <c r="Y38" i="27"/>
  <c r="Y40" i="27" s="1"/>
  <c r="AD38" i="27"/>
  <c r="AD40" i="27" s="1"/>
  <c r="Y41" i="27" l="1"/>
  <c r="AB55" i="27" s="1"/>
  <c r="AB56" i="27" s="1"/>
  <c r="AB58" i="27" s="1"/>
  <c r="Y41" i="26"/>
  <c r="AB55" i="26" s="1"/>
  <c r="AB56" i="26" s="1"/>
  <c r="AD38" i="5"/>
  <c r="AD40" i="5" s="1"/>
  <c r="Q71" i="25"/>
  <c r="O75" i="25" s="1"/>
  <c r="R75" i="25" s="1"/>
  <c r="T26" i="5"/>
  <c r="T28" i="5" s="1"/>
  <c r="T29" i="5" s="1"/>
  <c r="Y38" i="5" l="1"/>
  <c r="Y40" i="5" s="1"/>
  <c r="AR42" i="5" s="1"/>
  <c r="Y41" i="5" s="1"/>
  <c r="AB55" i="5" s="1"/>
  <c r="AB58" i="26"/>
  <c r="AB75" i="27"/>
  <c r="AB76" i="27" s="1"/>
  <c r="AB77" i="27" s="1"/>
  <c r="AB79" i="27" s="1"/>
  <c r="J80" i="27" s="1"/>
  <c r="F59" i="27"/>
  <c r="AR43" i="5" l="1"/>
  <c r="AB75" i="26"/>
  <c r="AB76" i="26" s="1"/>
  <c r="AB77" i="26" s="1"/>
  <c r="AB79" i="26" s="1"/>
  <c r="J80" i="26" s="1"/>
  <c r="F59" i="26"/>
  <c r="M25" i="3"/>
  <c r="AB56" i="5"/>
  <c r="BE15" i="28"/>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<sst xmlns="http://schemas.openxmlformats.org/spreadsheetml/2006/main" count="4646" uniqueCount="2456">
  <si>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</si>
  <si>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</si>
  <si>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</si>
  <si>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</si>
  <si>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</si>
  <si>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</si>
  <si>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</si>
  <si>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</si>
  <si>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</si>
  <si>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</si>
  <si>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</si>
  <si>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</si>
  <si>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</si>
  <si>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</si>
  <si>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</si>
  <si>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</si>
  <si>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</si>
  <si>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</si>
  <si>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</si>
  <si>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</si>
  <si>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</si>
  <si>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</si>
  <si>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</si>
  <si>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</si>
  <si>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</si>
  <si>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</si>
  <si>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</si>
  <si>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</si>
  <si>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</si>
  <si>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</si>
  <si>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</si>
  <si>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</si>
  <si>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</si>
  <si>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</si>
  <si>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</si>
  <si>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</si>
  <si>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</si>
  <si>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</si>
  <si>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</si>
  <si>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</si>
  <si>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</si>
  <si>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</si>
  <si>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</si>
  <si>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</si>
  <si>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</si>
  <si>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</si>
  <si>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</si>
  <si>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</si>
  <si>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</si>
  <si>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</si>
  <si>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</si>
  <si>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</si>
  <si>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</si>
  <si>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</si>
  <si>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</si>
  <si>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</si>
  <si>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</si>
  <si>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</si>
  <si>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</si>
  <si>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</si>
  <si>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</si>
  <si>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</si>
  <si>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</si>
  <si>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</si>
  <si>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</si>
  <si>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</si>
  <si>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</si>
  <si>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</si>
  <si>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</si>
  <si>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</si>
  <si>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</si>
  <si>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</si>
  <si>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</si>
  <si>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</si>
  <si>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</si>
  <si>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</si>
  <si>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</si>
  <si>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</si>
  <si>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</si>
  <si>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</si>
  <si>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</si>
  <si>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</si>
  <si>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</si>
  <si>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</si>
  <si>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</si>
  <si>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</si>
  <si>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</si>
  <si>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</si>
  <si>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</si>
  <si>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</si>
  <si>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</si>
  <si>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</si>
  <si>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</si>
  <si>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</si>
  <si>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</si>
  <si>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</si>
  <si>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</si>
  <si>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</si>
  <si>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</si>
  <si>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</si>
  <si>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</si>
  <si>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</si>
  <si>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</si>
  <si>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</si>
  <si>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</si>
  <si>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</si>
  <si>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</si>
  <si>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</si>
  <si>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</si>
  <si>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</si>
  <si>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</si>
  <si>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</si>
  <si>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</si>
  <si>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</si>
  <si>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</si>
  <si>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</si>
  <si>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</si>
  <si>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</si>
  <si>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</si>
  <si>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</si>
  <si>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</si>
  <si>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</si>
  <si>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</si>
  <si>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</si>
  <si>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</si>
  <si>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</si>
  <si>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</si>
  <si>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</si>
  <si>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</si>
  <si>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</si>
  <si>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</si>
  <si>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</si>
  <si>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</si>
  <si>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</si>
  <si>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</si>
  <si>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</si>
  <si>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</si>
  <si>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</si>
  <si>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</si>
  <si>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</si>
  <si>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</si>
  <si>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</si>
  <si>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</si>
  <si>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</si>
  <si>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</si>
  <si>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</si>
  <si>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</si>
  <si>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</si>
  <si>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</si>
  <si>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</si>
  <si>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</si>
  <si>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</si>
  <si>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</si>
  <si>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</si>
  <si>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</si>
  <si>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</si>
  <si>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</si>
  <si>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</si>
  <si>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</si>
  <si>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</si>
  <si>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</si>
  <si>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</si>
  <si>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</si>
  <si>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</si>
  <si>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</si>
  <si>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</si>
  <si>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</si>
  <si>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</si>
  <si>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</si>
  <si>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</si>
  <si>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</si>
  <si>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</si>
  <si>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</si>
  <si>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</si>
  <si>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</si>
  <si>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</si>
  <si>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</si>
  <si>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</si>
  <si>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</si>
  <si>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</si>
  <si>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</si>
  <si>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</si>
  <si>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</si>
  <si>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</si>
  <si>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</si>
  <si>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</si>
  <si>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</si>
  <si>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</si>
  <si>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</si>
  <si>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</si>
  <si>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</si>
  <si>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</si>
  <si>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</si>
  <si>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</si>
  <si>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</si>
  <si>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</si>
  <si>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</si>
  <si>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</si>
  <si>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</si>
  <si>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</si>
  <si>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</si>
  <si>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</si>
  <si>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</si>
  <si>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</si>
  <si>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</si>
  <si>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</si>
  <si>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</si>
  <si>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</si>
  <si>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</si>
  <si>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</si>
  <si>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</si>
  <si>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</si>
  <si>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</si>
  <si>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</si>
  <si>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</si>
  <si>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</si>
  <si>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</si>
  <si>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</si>
  <si>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</si>
  <si>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</si>
  <si>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</si>
  <si>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</si>
  <si>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</si>
  <si>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</si>
  <si>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</si>
  <si>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</si>
  <si>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</si>
  <si>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</si>
  <si>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</si>
  <si>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</si>
  <si>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</si>
  <si>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</si>
  <si>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</si>
  <si>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</si>
  <si>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</si>
  <si>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</si>
  <si>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</si>
  <si>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</si>
  <si>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</si>
  <si>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</si>
  <si>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</si>
  <si>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</si>
  <si>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</si>
  <si>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</si>
  <si>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</si>
  <si>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</si>
  <si>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</si>
  <si>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</si>
  <si>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</si>
  <si>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</si>
  <si>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</si>
  <si>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</si>
  <si>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</si>
  <si>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</si>
  <si>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</si>
  <si>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</si>
  <si>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</si>
  <si>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</si>
  <si>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</si>
  <si>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</si>
  <si>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</si>
  <si>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</si>
  <si>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</si>
  <si>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</si>
  <si>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</si>
  <si>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</si>
  <si>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</si>
  <si>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</si>
  <si>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</si>
  <si>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</si>
  <si>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</si>
  <si>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</si>
  <si>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</si>
  <si>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</si>
  <si>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</si>
  <si>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</si>
  <si>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</si>
  <si>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</si>
  <si>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</si>
  <si>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</si>
  <si>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</si>
  <si>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</si>
  <si>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</si>
  <si>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</si>
  <si>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</si>
  <si>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</si>
  <si>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</si>
  <si>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</si>
  <si>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</si>
  <si>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</si>
  <si>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</si>
  <si>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</si>
  <si>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</si>
  <si>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</si>
  <si>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</si>
  <si>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</si>
  <si>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</si>
  <si>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</si>
  <si>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</si>
  <si>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</si>
  <si>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</si>
  <si>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</si>
  <si>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</si>
  <si>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</si>
  <si>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</si>
  <si>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</si>
  <si>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</si>
  <si>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</si>
  <si>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</si>
  <si>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</si>
  <si>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</si>
  <si>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</si>
  <si>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</si>
  <si>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</si>
  <si>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</si>
  <si>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</si>
  <si>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</si>
  <si>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</si>
  <si>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</si>
  <si>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</si>
  <si>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</si>
  <si>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</si>
  <si>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</si>
  <si>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</si>
  <si>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</si>
  <si>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</si>
  <si>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</si>
  <si>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</si>
  <si>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</si>
  <si>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</si>
  <si>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</si>
  <si>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</si>
  <si>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</si>
  <si>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</si>
  <si>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</si>
  <si>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</si>
  <si>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</si>
  <si>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</si>
  <si>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</si>
  <si>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</si>
  <si>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</si>
  <si>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</si>
  <si>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</si>
  <si>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</si>
  <si>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</si>
  <si>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</si>
  <si>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</si>
  <si>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</si>
  <si>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</si>
  <si>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</si>
  <si>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</si>
  <si>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</si>
  <si>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</si>
  <si>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</si>
  <si>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</si>
  <si>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</si>
  <si>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</si>
  <si>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</si>
  <si>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</si>
  <si>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</si>
  <si>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</si>
  <si>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</si>
  <si>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</si>
  <si>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</si>
  <si>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</si>
  <si>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</si>
  <si>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</si>
  <si>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</si>
  <si>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</si>
  <si>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</si>
  <si>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</si>
  <si>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</si>
  <si>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</si>
  <si>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</si>
  <si>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</si>
  <si>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</si>
  <si>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</si>
  <si>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</si>
  <si>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</si>
  <si>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</si>
  <si>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</si>
  <si>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</si>
  <si>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</si>
  <si>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</si>
  <si>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</si>
  <si>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</si>
  <si>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</si>
  <si>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</si>
  <si>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</si>
  <si>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</si>
  <si>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</si>
  <si>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</si>
  <si>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</si>
  <si>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</si>
  <si>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</si>
  <si>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</si>
  <si>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</si>
  <si>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</si>
  <si>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</si>
  <si>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</si>
  <si>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</si>
  <si>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</si>
  <si>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</si>
  <si>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</si>
  <si>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</si>
  <si>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</si>
  <si>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</si>
  <si>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</si>
  <si>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</si>
  <si>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</si>
  <si>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</si>
  <si>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</si>
  <si>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</si>
  <si>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</si>
  <si>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</si>
  <si>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</si>
  <si>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</si>
  <si>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</si>
  <si>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</si>
  <si>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</si>
  <si>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</si>
  <si>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</si>
  <si>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</si>
  <si>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</si>
  <si>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</si>
  <si>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</si>
  <si>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</si>
  <si>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</si>
  <si>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</si>
  <si>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</si>
  <si>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</si>
  <si>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</si>
  <si>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</si>
  <si>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</si>
  <si>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</si>
  <si>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</si>
  <si>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</si>
  <si>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</si>
  <si>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</si>
  <si>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</si>
  <si>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</si>
  <si>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</si>
  <si>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</si>
  <si>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</si>
  <si>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</si>
  <si>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</si>
  <si>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</si>
  <si>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</si>
  <si>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</si>
  <si>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</si>
  <si>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</si>
  <si>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</si>
  <si>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</si>
  <si>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</si>
  <si>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</si>
  <si>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</si>
  <si>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</si>
  <si>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</si>
  <si>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</si>
  <si>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</si>
  <si>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</si>
  <si>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</si>
  <si>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</si>
  <si>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</si>
  <si>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</si>
  <si>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</si>
  <si>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</si>
  <si>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</si>
  <si>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</si>
  <si>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</si>
  <si>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</si>
  <si>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</si>
  <si>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</si>
  <si>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</si>
  <si>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</si>
  <si>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</si>
  <si>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</si>
  <si>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</si>
  <si>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</si>
  <si>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</si>
  <si>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</si>
  <si>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</si>
  <si>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</si>
  <si>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</si>
  <si>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</si>
  <si>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</si>
  <si>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</si>
  <si>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</si>
  <si>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</si>
  <si>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</si>
  <si>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</si>
  <si>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</si>
  <si>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</si>
  <si>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</si>
  <si>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</si>
  <si>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</si>
  <si>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</si>
  <si>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</si>
  <si>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</si>
  <si>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</si>
  <si>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</si>
  <si>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</si>
  <si>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</si>
  <si>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</si>
  <si>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</si>
  <si>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</si>
  <si>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</si>
  <si>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</si>
  <si>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</si>
  <si>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</si>
  <si>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</si>
  <si>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</si>
  <si>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</si>
  <si>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</si>
  <si>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</si>
  <si>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</si>
  <si>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</si>
  <si>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</si>
  <si>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</si>
  <si>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</si>
  <si>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</si>
  <si>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</si>
  <si>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</si>
  <si>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</si>
  <si>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</si>
  <si>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</si>
  <si>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</si>
  <si>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</si>
  <si>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</si>
  <si>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</si>
  <si>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</si>
  <si>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</si>
  <si>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</si>
  <si>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</si>
  <si>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</si>
  <si>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</si>
  <si>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</si>
  <si>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</si>
  <si>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</si>
  <si>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</si>
  <si>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</si>
  <si>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</si>
  <si>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</si>
  <si>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</si>
  <si>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</si>
  <si>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</si>
  <si>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</si>
  <si>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</si>
  <si>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</si>
  <si>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</si>
  <si>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</si>
  <si>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</si>
  <si>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</si>
  <si>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</si>
  <si>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</si>
  <si>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</si>
  <si>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</si>
  <si>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</si>
  <si>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</si>
  <si>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</si>
  <si>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</si>
  <si>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</si>
  <si>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</si>
  <si>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</si>
  <si>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</si>
  <si>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</si>
  <si>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</si>
  <si>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</si>
  <si>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</si>
  <si>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</si>
  <si>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</si>
  <si>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</si>
  <si>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</si>
  <si>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</si>
  <si>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</si>
  <si>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</si>
  <si>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</si>
  <si>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</si>
  <si>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</si>
  <si>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</si>
  <si>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</si>
  <si>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</si>
  <si>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</si>
  <si>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</si>
  <si>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</si>
  <si>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</si>
  <si>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</si>
  <si>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</si>
  <si>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</si>
  <si>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</si>
  <si>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</si>
  <si>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</si>
  <si>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</si>
  <si>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</si>
  <si>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</si>
  <si>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</si>
  <si>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</si>
  <si>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</si>
  <si>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</si>
  <si>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</si>
  <si>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</si>
  <si>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</si>
  <si>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</si>
  <si>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</si>
  <si>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</si>
  <si>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</si>
  <si>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</si>
  <si>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</si>
  <si>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</si>
  <si>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</si>
  <si>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</si>
  <si>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</si>
  <si>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</si>
  <si>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</si>
  <si>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</si>
  <si>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</si>
  <si>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</si>
  <si>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</si>
  <si>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</si>
  <si>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</si>
  <si>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</si>
  <si>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</si>
  <si>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</si>
  <si>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</si>
  <si>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</si>
  <si>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</si>
  <si>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</si>
  <si>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</si>
  <si>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</si>
  <si>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</si>
  <si>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</si>
  <si>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</si>
  <si>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</si>
  <si>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</si>
  <si>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</si>
  <si>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</si>
  <si>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</si>
  <si>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</si>
  <si>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</si>
  <si>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</si>
  <si>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</si>
  <si>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</si>
  <si>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</si>
  <si>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</si>
  <si>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</si>
  <si>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</si>
  <si>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</si>
  <si>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</si>
  <si>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</si>
  <si>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</si>
  <si>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</si>
  <si>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</si>
  <si>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</si>
  <si>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</si>
  <si>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</si>
  <si>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</si>
  <si>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</si>
  <si>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</si>
  <si>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</si>
  <si>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</si>
  <si>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</si>
  <si>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</si>
  <si>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</si>
  <si>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</si>
  <si>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</si>
  <si>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</si>
  <si>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</si>
  <si>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</si>
  <si>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</si>
  <si>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</si>
  <si>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</si>
  <si>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</si>
  <si>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</si>
  <si>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</si>
  <si>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</si>
  <si>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</si>
  <si>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</si>
  <si>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</si>
  <si>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</si>
  <si>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</si>
  <si>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</si>
  <si>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</si>
  <si>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</si>
  <si>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</si>
  <si>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</si>
  <si>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</si>
  <si>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</si>
  <si>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</si>
  <si>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</si>
  <si>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</si>
  <si>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</si>
  <si>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</si>
  <si>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</si>
  <si>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</si>
  <si>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</si>
  <si>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</si>
  <si>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</si>
  <si>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</si>
  <si>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</si>
  <si>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</si>
  <si>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</si>
  <si>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</si>
  <si>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</si>
  <si>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</si>
  <si>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</si>
  <si>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</si>
  <si>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</si>
  <si>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</si>
  <si>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</si>
  <si>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</si>
  <si>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</si>
  <si>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</si>
  <si>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</si>
  <si>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</si>
  <si>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</si>
  <si>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</si>
  <si>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</si>
  <si>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</si>
  <si>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</si>
  <si>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</si>
  <si>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</si>
  <si>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</si>
  <si>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</si>
  <si>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</si>
  <si>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</si>
  <si>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</si>
  <si>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</si>
  <si>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</si>
  <si>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</si>
  <si>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</si>
  <si>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</si>
  <si>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</si>
  <si>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</si>
  <si>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</si>
  <si>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</si>
  <si>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</si>
  <si>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</si>
  <si>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</si>
  <si>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</si>
  <si>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</si>
  <si>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</si>
  <si>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</si>
  <si>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</si>
  <si>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</si>
  <si>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</si>
  <si>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</si>
  <si>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</si>
  <si>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</si>
  <si>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</si>
  <si>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</si>
  <si>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</si>
  <si>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</si>
  <si>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</si>
  <si>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</si>
  <si>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</si>
  <si>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</si>
  <si>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</si>
  <si>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</si>
  <si>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</si>
  <si>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</si>
  <si>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</si>
  <si>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</si>
  <si>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</si>
  <si>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</si>
  <si>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</si>
  <si>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</si>
  <si>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</si>
  <si>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</si>
  <si>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</si>
  <si>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</si>
  <si>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</si>
  <si>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</si>
  <si>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</si>
  <si>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</si>
  <si>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</si>
  <si>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</si>
  <si>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</si>
  <si>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</si>
  <si>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</si>
  <si>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</si>
  <si>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</si>
  <si>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</si>
  <si>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</si>
  <si>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</si>
  <si>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</si>
  <si>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</si>
  <si>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</si>
  <si>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</si>
  <si>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</si>
  <si>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</si>
  <si>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</si>
  <si>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</si>
  <si>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</si>
  <si>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</si>
  <si>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</si>
  <si>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</si>
  <si>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</si>
  <si>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</si>
  <si>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</si>
  <si>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</si>
  <si>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</si>
  <si>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</si>
  <si>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</si>
  <si>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</si>
  <si>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</si>
  <si>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</si>
  <si>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</si>
  <si>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</si>
  <si>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</si>
  <si>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</si>
  <si>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</si>
  <si>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</si>
  <si>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</si>
  <si>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</si>
  <si>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</si>
  <si>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</si>
  <si>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</si>
  <si>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</si>
  <si>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</si>
  <si>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</si>
  <si>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</si>
  <si>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</si>
  <si>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</si>
  <si>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</si>
  <si>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</si>
  <si>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</si>
  <si>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</si>
  <si>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</si>
  <si>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</si>
  <si>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</si>
  <si>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</si>
  <si>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</si>
  <si>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</si>
  <si>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</si>
  <si>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</si>
  <si>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</si>
  <si>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</si>
  <si>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</si>
  <si>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</si>
  <si>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</si>
  <si>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</si>
  <si>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</si>
  <si>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</si>
  <si>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</si>
  <si>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</si>
  <si>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</si>
  <si>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</si>
  <si>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</si>
  <si>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</si>
  <si>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</si>
  <si>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</si>
  <si>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</si>
  <si>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</si>
  <si>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</si>
  <si>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</si>
  <si>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</si>
  <si>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</si>
  <si>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</si>
  <si>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</si>
  <si>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</si>
  <si>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</si>
  <si>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</si>
  <si>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</si>
  <si>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</si>
  <si>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</si>
  <si>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</si>
  <si>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</si>
  <si>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</si>
  <si>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</si>
  <si>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</si>
  <si>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</si>
  <si>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</si>
  <si>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</si>
  <si>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</si>
  <si>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</si>
  <si>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</si>
  <si>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</si>
  <si>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</si>
  <si>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</si>
  <si>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</si>
  <si>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</si>
  <si>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</si>
  <si>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</si>
  <si>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</si>
  <si>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</si>
  <si>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</si>
  <si>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</si>
  <si>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</si>
  <si>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</si>
  <si>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</si>
  <si>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</si>
  <si>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</si>
  <si>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</si>
  <si>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</si>
  <si>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</si>
  <si>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</si>
  <si>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</si>
  <si>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</si>
  <si>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</si>
  <si>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</si>
  <si>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</si>
  <si>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</si>
  <si>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</si>
  <si>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</si>
  <si>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</si>
  <si>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</si>
  <si>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</si>
  <si>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</si>
  <si>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</si>
  <si>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</si>
  <si>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</si>
  <si>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</si>
  <si>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</si>
  <si>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</si>
  <si>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</si>
  <si>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</si>
  <si>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</si>
  <si>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</si>
  <si>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</si>
  <si>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</si>
  <si>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</si>
  <si>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</si>
  <si>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</si>
  <si>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</si>
  <si>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</si>
  <si>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</si>
  <si>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</si>
  <si>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</si>
  <si>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</si>
  <si>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</si>
  <si>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</si>
  <si>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</si>
  <si>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</si>
  <si>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</si>
  <si>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</si>
  <si>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</si>
  <si>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</si>
  <si>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</si>
  <si>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</si>
  <si>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</si>
  <si>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</si>
  <si>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</si>
  <si>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</si>
  <si>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</si>
  <si>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</si>
  <si>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</si>
  <si>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</si>
  <si>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</si>
  <si>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</si>
  <si>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</si>
  <si>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</si>
  <si>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</si>
  <si>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</si>
  <si>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</si>
  <si>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</si>
  <si>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</si>
  <si>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</si>
  <si>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</si>
  <si>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</si>
  <si>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</si>
  <si>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</si>
  <si>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</si>
  <si>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</si>
  <si>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</si>
  <si>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</si>
  <si>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</si>
  <si>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</si>
  <si>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</si>
  <si>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</si>
  <si>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</si>
  <si>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</si>
  <si>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</si>
  <si>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</si>
  <si>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</si>
  <si>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</si>
  <si>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</si>
  <si>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</si>
  <si>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</si>
  <si>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</si>
  <si>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</si>
  <si>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</si>
  <si>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</si>
  <si>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</si>
  <si>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</si>
  <si>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</si>
  <si>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</si>
  <si>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</si>
  <si>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</si>
  <si>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</si>
  <si>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</si>
  <si>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</si>
  <si>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</si>
  <si>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</si>
  <si>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</si>
  <si>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</si>
  <si>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</si>
  <si>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</si>
  <si>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</si>
  <si>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</si>
  <si>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</si>
  <si>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</si>
  <si>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</si>
  <si>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</si>
  <si>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</si>
  <si>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</si>
  <si>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</si>
  <si>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</si>
  <si>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</si>
  <si>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</si>
  <si>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</si>
  <si>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</si>
  <si>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</si>
  <si>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</si>
  <si>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</si>
  <si>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</si>
  <si>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</si>
  <si>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</si>
  <si>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</si>
  <si>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</si>
  <si>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</si>
  <si>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</si>
  <si>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</si>
  <si>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</si>
  <si>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</si>
  <si>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</si>
  <si>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</si>
  <si>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</si>
  <si>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</si>
  <si>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</si>
  <si>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</si>
  <si>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</si>
  <si>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</si>
  <si>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</si>
  <si>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</si>
  <si>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</si>
  <si>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</si>
  <si>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</si>
  <si>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</si>
  <si>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</si>
  <si>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</si>
  <si>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</si>
  <si>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</si>
  <si>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</si>
  <si>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</si>
  <si>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</si>
  <si>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</si>
  <si>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</si>
  <si>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</si>
  <si>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</si>
  <si>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</si>
  <si>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</si>
  <si>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</si>
  <si>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</si>
  <si>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</si>
  <si>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</si>
  <si>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</si>
  <si>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</si>
  <si>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</si>
  <si>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</si>
  <si>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</si>
  <si>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</si>
  <si>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</si>
  <si>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</si>
  <si>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</si>
  <si>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</si>
  <si>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</si>
  <si>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</si>
  <si>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</si>
  <si>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</si>
  <si>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</si>
  <si>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</si>
  <si>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</si>
  <si>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</si>
  <si>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</si>
  <si>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</si>
  <si>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</si>
  <si>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</si>
  <si>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</si>
  <si>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</si>
  <si>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</si>
  <si>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</si>
  <si>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</si>
  <si>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</si>
  <si>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</si>
  <si>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</si>
  <si>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</si>
  <si>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</si>
  <si>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</si>
  <si>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</si>
  <si>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</si>
  <si>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</si>
  <si>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</si>
  <si>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</si>
  <si>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</si>
  <si>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</si>
  <si>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</si>
  <si>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</si>
  <si>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</si>
  <si>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</si>
  <si>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</si>
  <si>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</si>
  <si>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</si>
  <si>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</si>
  <si>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</si>
  <si>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</si>
  <si>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</si>
  <si>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</si>
  <si>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</si>
  <si>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</si>
  <si>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</si>
  <si>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</si>
  <si>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</si>
  <si>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</si>
  <si>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</si>
  <si>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</si>
  <si>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</si>
  <si>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</si>
  <si>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</si>
  <si>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</si>
  <si>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</si>
  <si>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</si>
  <si>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</si>
  <si>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</si>
  <si>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</si>
  <si>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</si>
  <si>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</si>
  <si>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</si>
  <si>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</si>
  <si>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</si>
  <si>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</si>
  <si>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</si>
  <si>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</si>
  <si>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</si>
  <si>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</si>
  <si>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</si>
  <si>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</si>
  <si>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</si>
  <si>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</si>
  <si>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</si>
  <si>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</si>
  <si>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</si>
  <si>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</si>
  <si>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</si>
  <si>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</si>
  <si>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</si>
  <si>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</si>
  <si>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</si>
  <si>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</si>
  <si>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</si>
  <si>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</si>
  <si>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</si>
  <si>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</si>
  <si>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</si>
  <si>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</si>
  <si>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</si>
  <si>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</si>
  <si>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</si>
  <si>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</si>
  <si>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</si>
  <si>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</si>
  <si>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</si>
  <si>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</si>
  <si>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</si>
  <si>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</si>
  <si>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</si>
  <si>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</si>
  <si>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</si>
  <si>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</si>
  <si>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</si>
  <si>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</si>
  <si>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</si>
  <si>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</si>
  <si>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</si>
  <si>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</si>
  <si>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</si>
  <si>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</si>
  <si>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</si>
  <si>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</si>
  <si>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</si>
  <si>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</si>
  <si>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</si>
  <si>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</si>
  <si>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</si>
  <si>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</si>
  <si>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</si>
  <si>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</si>
  <si>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</si>
  <si>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</si>
  <si>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</si>
  <si>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</si>
  <si>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</si>
  <si>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</si>
  <si>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</si>
  <si>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</si>
  <si>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</si>
  <si>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</si>
  <si>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</si>
  <si>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</si>
  <si>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</si>
  <si>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</si>
  <si>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</si>
  <si>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</si>
  <si>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</si>
  <si>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</si>
  <si>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</si>
  <si>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</si>
  <si>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</si>
  <si>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</si>
  <si>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</si>
  <si>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</si>
  <si>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</si>
  <si>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</si>
  <si>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</si>
  <si>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</si>
  <si>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</si>
  <si>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</si>
  <si>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</si>
  <si>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</si>
  <si>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</si>
  <si>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</si>
  <si>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</si>
  <si>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</si>
  <si>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</si>
  <si>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</si>
  <si>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</si>
  <si>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</si>
  <si>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</si>
  <si>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</si>
  <si>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</si>
  <si>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</si>
  <si>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</si>
  <si>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</si>
  <si>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</si>
  <si>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</si>
  <si>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</si>
  <si>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</si>
  <si>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</si>
  <si>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</si>
  <si>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</si>
  <si>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</si>
  <si>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</si>
  <si>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</si>
  <si>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</si>
  <si>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</si>
  <si>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</si>
  <si>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</si>
  <si>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</si>
  <si>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</si>
  <si>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</si>
  <si>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</si>
  <si>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</si>
  <si>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</si>
  <si>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</si>
  <si>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</si>
  <si>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</si>
  <si>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</si>
  <si>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</si>
  <si>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</si>
  <si>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</si>
  <si>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</si>
  <si>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</si>
  <si>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</si>
  <si>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</si>
  <si>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</si>
  <si>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</si>
  <si>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</si>
  <si>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</si>
  <si>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</si>
  <si>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</si>
  <si>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</si>
  <si>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</si>
  <si>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</si>
  <si>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</si>
  <si>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</si>
  <si>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</si>
  <si>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</si>
  <si>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</si>
  <si>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</si>
  <si>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</si>
  <si>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</si>
  <si>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</si>
  <si>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</si>
  <si>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</si>
  <si>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</si>
  <si>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</si>
  <si>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</si>
  <si>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</si>
  <si>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</si>
  <si>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</si>
  <si>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</si>
  <si>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</si>
  <si>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</si>
  <si>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</si>
  <si>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</si>
  <si>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</si>
  <si>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</si>
  <si>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</si>
  <si>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</si>
  <si>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</si>
  <si>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</si>
  <si>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</si>
  <si>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</si>
  <si>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</si>
  <si>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</si>
  <si>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</si>
  <si>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</si>
  <si>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</si>
  <si>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</si>
  <si>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</si>
  <si>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</si>
  <si>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</si>
  <si>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</si>
  <si>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</si>
  <si>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</si>
  <si>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</si>
  <si>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</si>
  <si>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</si>
  <si>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</si>
  <si>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</si>
  <si>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</si>
  <si>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</si>
  <si>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</si>
  <si>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</si>
  <si>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</si>
  <si>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</si>
  <si>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</si>
  <si>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</si>
  <si>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</si>
  <si>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</si>
  <si>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</si>
  <si>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</si>
  <si>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</si>
  <si>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</si>
  <si>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</si>
  <si>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</si>
  <si>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</si>
  <si>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</si>
  <si>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</si>
  <si>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</si>
  <si>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</si>
  <si>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</si>
  <si>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</si>
  <si>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</si>
  <si>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</si>
  <si>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</si>
  <si>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</si>
  <si>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</si>
  <si>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</si>
  <si>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</si>
  <si>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</si>
  <si>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</si>
  <si>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</si>
  <si>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</si>
  <si>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</si>
  <si>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</si>
  <si>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</si>
  <si>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</si>
  <si>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</si>
  <si>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</si>
  <si>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</si>
  <si>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</si>
  <si>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</si>
  <si>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</si>
  <si>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</si>
  <si>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</si>
  <si>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</si>
  <si>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</si>
  <si>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</si>
  <si>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</si>
  <si>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</si>
  <si>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</si>
  <si>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</si>
  <si>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</si>
  <si>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</si>
  <si>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</si>
  <si>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</si>
  <si>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</si>
  <si>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</si>
  <si>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</si>
  <si>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</si>
  <si>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</si>
  <si>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</si>
  <si>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</si>
  <si>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</si>
  <si>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</si>
  <si>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</si>
  <si>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</si>
  <si>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</si>
  <si>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</si>
  <si>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</si>
  <si>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</si>
  <si>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</si>
  <si>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</si>
  <si>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</si>
  <si>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</si>
  <si>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</si>
  <si>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</si>
  <si>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</si>
  <si>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</si>
  <si>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</si>
  <si>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</si>
  <si>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</si>
  <si>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</si>
  <si>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</si>
  <si>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</si>
  <si>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</si>
  <si>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</si>
  <si>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</si>
  <si>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</si>
  <si>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</si>
  <si>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</si>
  <si>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</si>
  <si>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</si>
  <si>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</si>
  <si>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</si>
  <si>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</si>
  <si>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</si>
  <si>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</si>
  <si>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</si>
  <si>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</si>
  <si>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</si>
  <si>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</si>
  <si>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</si>
  <si>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</si>
  <si>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</si>
  <si>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</si>
  <si>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</si>
  <si>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</si>
  <si>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</si>
  <si>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</si>
  <si>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</si>
  <si>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</si>
  <si>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</si>
  <si>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</si>
  <si>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</si>
  <si>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</si>
  <si>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</si>
  <si>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</si>
  <si>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</si>
  <si>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</si>
  <si>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</si>
  <si>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</si>
  <si>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</si>
  <si>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</si>
  <si>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</si>
  <si>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</si>
  <si>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</si>
  <si>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</si>
  <si>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</si>
  <si>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</si>
  <si>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</si>
  <si>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</si>
  <si>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</si>
  <si>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</si>
  <si>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</si>
  <si>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</si>
  <si>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</si>
  <si>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</si>
  <si>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</si>
  <si>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</si>
  <si>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</si>
  <si>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</si>
  <si>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</si>
  <si>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</si>
  <si>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</si>
  <si>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</si>
  <si>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</si>
  <si>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</si>
  <si>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</si>
  <si>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</si>
  <si>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</si>
  <si>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</si>
  <si>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</si>
  <si>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</si>
  <si>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</si>
  <si>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</si>
  <si>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</si>
  <si>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</si>
  <si>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</si>
  <si>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</si>
  <si>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</si>
  <si>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</si>
  <si>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</si>
  <si>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</si>
  <si>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</si>
  <si>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</si>
  <si>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</si>
  <si>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</si>
  <si>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</si>
  <si>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</si>
  <si>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</si>
  <si>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</si>
  <si>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</si>
  <si>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</si>
  <si>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</si>
  <si>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</si>
  <si>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</si>
  <si>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</si>
  <si>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</si>
  <si>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</si>
  <si>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</si>
  <si>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</si>
  <si>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</si>
  <si>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</si>
  <si>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</si>
  <si>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</si>
  <si>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</si>
  <si>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</si>
  <si>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</si>
  <si>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</si>
  <si>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</si>
  <si>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</si>
  <si>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</si>
  <si>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</si>
  <si>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</si>
  <si>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</si>
  <si>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</si>
  <si>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</si>
  <si>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</si>
  <si>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</si>
  <si>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</si>
  <si>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</si>
  <si>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</si>
  <si>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</si>
  <si>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</si>
  <si>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</si>
  <si>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</si>
  <si>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</si>
  <si>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</si>
  <si>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</si>
  <si>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</si>
  <si>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</si>
  <si>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</si>
  <si>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</si>
  <si>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</si>
  <si>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</si>
  <si>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</si>
  <si>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</si>
  <si>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</si>
  <si>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</si>
  <si>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</si>
  <si>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</si>
  <si>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</si>
  <si>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</si>
  <si>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</si>
  <si>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</si>
  <si>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</si>
  <si>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</si>
  <si>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</si>
  <si>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</si>
  <si>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</si>
  <si>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</si>
  <si>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</si>
  <si>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</si>
  <si>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</si>
  <si>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</si>
  <si>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</si>
  <si>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</si>
  <si>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</si>
  <si>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</si>
  <si>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</si>
  <si>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</si>
  <si>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</si>
  <si>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</si>
  <si>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</si>
  <si>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</si>
  <si>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</si>
  <si>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</si>
  <si>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</si>
  <si>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</si>
  <si>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</si>
  <si>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</si>
  <si>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</si>
  <si>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</si>
  <si>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</si>
  <si>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</si>
  <si>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</si>
  <si>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</si>
  <si>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</si>
  <si>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</si>
  <si>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</si>
  <si>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</si>
  <si>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</si>
  <si>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</si>
  <si>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</si>
  <si>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</si>
  <si>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</si>
  <si>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</si>
  <si>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</si>
  <si>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</si>
  <si>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</si>
  <si>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</si>
  <si>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</si>
  <si>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</si>
  <si>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</si>
  <si>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</si>
  <si>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</si>
  <si>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</si>
  <si>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</si>
  <si>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</si>
  <si>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</si>
  <si>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</si>
  <si>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</si>
  <si>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</si>
  <si>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</si>
  <si>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</si>
  <si>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</si>
  <si>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</si>
  <si>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</si>
  <si>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</si>
  <si>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</si>
  <si>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</si>
  <si>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</si>
  <si>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</si>
  <si>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</si>
  <si>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</si>
  <si>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</si>
  <si>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</si>
  <si>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</si>
  <si>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</si>
  <si>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</si>
  <si>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</si>
  <si>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</si>
  <si>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</si>
  <si>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</si>
  <si>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</si>
  <si>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</si>
  <si>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</si>
  <si>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</si>
  <si>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</si>
  <si>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</si>
  <si>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</si>
  <si>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</si>
  <si>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</si>
  <si>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</si>
  <si>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</si>
  <si>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</si>
  <si>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</si>
  <si>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</si>
  <si>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</si>
  <si>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</si>
  <si>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</si>
  <si>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</si>
  <si>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</si>
  <si>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</si>
  <si>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</si>
  <si>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</si>
  <si>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</si>
  <si>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</si>
  <si>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</si>
  <si>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</si>
  <si>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</si>
  <si>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</si>
  <si>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</si>
  <si>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</si>
  <si>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</si>
  <si>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</si>
  <si>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</si>
  <si>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</si>
  <si>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</si>
  <si>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</si>
  <si>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</si>
  <si>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</si>
  <si>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</si>
  <si>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</si>
  <si>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</si>
  <si>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</si>
  <si>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</si>
  <si>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</si>
  <si>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</si>
  <si>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</si>
  <si>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</si>
  <si>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</si>
  <si>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</si>
  <si>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</si>
  <si>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</si>
  <si>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</si>
  <si>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</si>
  <si>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</si>
  <si>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</si>
  <si>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</si>
  <si>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</si>
  <si>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</si>
  <si>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</si>
  <si>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</si>
  <si>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</si>
  <si>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</si>
  <si>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</si>
  <si>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</si>
  <si>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</si>
  <si>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</si>
  <si>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</si>
  <si>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</si>
  <si>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</si>
  <si>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</si>
  <si>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</si>
  <si>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</si>
  <si>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</si>
  <si>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</si>
  <si>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</si>
  <si>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</si>
  <si>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</si>
  <si>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</si>
  <si>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</si>
  <si>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</si>
  <si>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</si>
  <si>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</si>
  <si>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</si>
  <si>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</si>
  <si>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</si>
  <si>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</si>
  <si>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</si>
  <si>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</si>
  <si>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</si>
  <si>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</si>
  <si>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</si>
  <si>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</si>
  <si>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</si>
  <si>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</si>
  <si>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</si>
  <si>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</si>
  <si>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</si>
  <si>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</si>
  <si>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</si>
  <si>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</si>
  <si>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</si>
  <si>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</si>
  <si>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</si>
  <si>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</si>
  <si>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</si>
  <si>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</si>
  <si>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</si>
  <si>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</si>
  <si>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</si>
  <si>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</si>
  <si>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</si>
  <si>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</si>
  <si>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</si>
  <si>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</si>
  <si>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</si>
  <si>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</si>
  <si>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</si>
  <si>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</si>
  <si>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</si>
  <si>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</si>
  <si>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</si>
  <si>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</si>
  <si>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</si>
  <si>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</si>
  <si>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</si>
  <si>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</si>
  <si>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</si>
  <si>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</si>
  <si>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</si>
  <si>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</si>
  <si>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</si>
  <si>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</si>
  <si>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</si>
  <si>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</si>
  <si>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</si>
  <si>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</si>
  <si>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</si>
  <si>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</si>
  <si>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</si>
  <si>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</si>
  <si>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</si>
  <si>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</si>
  <si>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</si>
  <si>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</si>
  <si>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</si>
  <si>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</si>
  <si>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</si>
  <si>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</si>
  <si>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</si>
  <si>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</si>
  <si>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</si>
  <si>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</si>
  <si>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</si>
  <si>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</si>
  <si>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</si>
  <si>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</si>
  <si>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</si>
  <si>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</si>
  <si>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</si>
  <si>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</si>
  <si>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</si>
  <si>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</si>
  <si>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</si>
  <si>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</si>
  <si>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</si>
  <si>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</si>
  <si>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</si>
  <si>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</si>
  <si>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</si>
  <si>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</si>
  <si>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</si>
  <si>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</si>
  <si>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</si>
  <si>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</si>
  <si>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</si>
  <si>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</si>
  <si>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</si>
  <si>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</si>
  <si>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</si>
  <si>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</si>
  <si>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</si>
  <si>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</si>
  <si>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</si>
  <si>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</si>
  <si>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</si>
  <si>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</si>
  <si>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</si>
  <si>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</si>
  <si>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</si>
  <si>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</si>
  <si>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</si>
  <si>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</si>
  <si>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</si>
  <si>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</si>
  <si>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</si>
  <si>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</si>
  <si>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</si>
  <si>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</si>
  <si>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</si>
  <si>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</si>
  <si>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</si>
  <si>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</si>
  <si>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</si>
  <si>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</si>
  <si>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</si>
  <si>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</si>
  <si>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</si>
  <si>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</si>
  <si>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</si>
  <si>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</si>
  <si>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</si>
  <si>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</si>
  <si>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</si>
  <si>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</si>
  <si>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</si>
  <si>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</si>
  <si>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</si>
  <si>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</si>
  <si>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</si>
  <si>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</si>
  <si>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</si>
  <si>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</si>
  <si>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</si>
  <si>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</si>
  <si>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</si>
  <si>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</si>
  <si>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</si>
  <si>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</si>
  <si>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</si>
  <si>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</si>
  <si>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</si>
  <si>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</si>
  <si>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</si>
  <si>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</si>
  <si>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</si>
  <si>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</si>
  <si>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</si>
  <si>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</si>
  <si>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</si>
  <si>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</si>
  <si>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</si>
  <si>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</si>
  <si>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</si>
  <si>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</si>
  <si>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</si>
  <si>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</si>
  <si>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</si>
  <si>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</si>
  <si>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</si>
  <si>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</si>
  <si>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</si>
  <si>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</si>
  <si>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</si>
  <si>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</si>
  <si>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</si>
  <si>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</si>
  <si>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</si>
  <si>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</si>
  <si>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</si>
  <si>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</si>
  <si>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</si>
  <si>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</si>
  <si>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</si>
  <si>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</si>
  <si>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</si>
  <si>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</si>
  <si>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</si>
  <si>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</si>
  <si>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</si>
  <si>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</si>
  <si>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</si>
  <si>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</si>
  <si>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</si>
  <si>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</si>
  <si>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</si>
  <si>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</si>
  <si>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</si>
  <si>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</si>
  <si>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</si>
  <si>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</si>
  <si>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</si>
  <si>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</si>
  <si>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</si>
  <si>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</si>
  <si>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</si>
  <si>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</si>
  <si>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</si>
  <si>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</si>
  <si>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</si>
  <si>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</si>
  <si>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</si>
  <si>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</si>
  <si>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</si>
  <si>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</si>
  <si>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</si>
  <si>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</si>
  <si>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</si>
  <si>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</si>
  <si>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</si>
  <si>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</si>
  <si>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</si>
  <si>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</si>
  <si>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</si>
  <si>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</si>
  <si>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</si>
  <si>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</si>
  <si>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</si>
  <si>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</si>
  <si>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</si>
  <si>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</si>
  <si>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</si>
  <si>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</si>
  <si>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</si>
  <si>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</si>
  <si>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</si>
  <si>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</si>
  <si>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</si>
  <si>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</si>
  <si>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</si>
  <si>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</si>
  <si>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</si>
  <si>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</si>
  <si>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</si>
  <si>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</si>
  <si>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</si>
  <si>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</si>
  <si>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</si>
  <si>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</si>
  <si>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</si>
  <si>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</si>
  <si>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</si>
  <si>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</si>
  <si>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</si>
  <si>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</si>
  <si>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</si>
  <si>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</si>
  <si>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</si>
  <si>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</si>
  <si>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</si>
  <si>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</si>
  <si>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</si>
  <si>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</si>
  <si>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</si>
  <si>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</si>
  <si>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</si>
  <si>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</si>
  <si>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</si>
  <si>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</si>
  <si>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</si>
  <si>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</si>
  <si>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</si>
  <si>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</si>
  <si>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</si>
  <si>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</si>
  <si>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</si>
  <si>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</si>
  <si>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</si>
  <si>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</si>
  <si>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</si>
  <si>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</si>
  <si>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</si>
  <si>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</si>
  <si>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</si>
  <si>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</si>
  <si>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</si>
  <si>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</si>
  <si>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</si>
  <si>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</si>
  <si>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</si>
  <si>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</si>
  <si>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</si>
  <si>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</si>
  <si>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</si>
  <si>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</si>
  <si>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</si>
  <si>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</si>
  <si>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</si>
  <si>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</si>
  <si>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</si>
  <si>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</si>
  <si>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</si>
  <si>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</si>
  <si>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</si>
  <si>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</si>
  <si>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</si>
  <si>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</si>
  <si>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</si>
  <si>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</si>
  <si>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</si>
  <si>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</si>
  <si>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</si>
  <si>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</si>
  <si>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</si>
  <si>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</si>
  <si>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</si>
  <si>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</si>
  <si>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</si>
  <si>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</si>
  <si>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</si>
  <si>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</si>
  <si>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</si>
  <si>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</si>
  <si>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</si>
  <si>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</si>
  <si>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</si>
  <si>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</si>
  <si>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</si>
  <si>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</si>
  <si>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</si>
  <si>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</si>
  <si>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</si>
  <si>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</si>
  <si>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</si>
  <si>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</si>
  <si>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</si>
  <si>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</si>
  <si>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</si>
  <si>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</si>
  <si>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</si>
  <si>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</si>
  <si>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</si>
  <si>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</si>
  <si>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</si>
  <si>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</si>
  <si>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</si>
  <si>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</si>
  <si>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</si>
  <si>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</si>
  <si>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</si>
  <si>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</si>
  <si>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</si>
  <si>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</si>
  <si>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</si>
  <si>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</si>
  <si>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</si>
  <si>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</si>
  <si>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</si>
  <si>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</si>
  <si>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</si>
  <si>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</si>
  <si>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</si>
  <si>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</si>
  <si>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</si>
  <si>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</si>
  <si>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</si>
  <si>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</si>
  <si>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</si>
  <si>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</si>
  <si>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</si>
  <si>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</si>
  <si>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</si>
  <si>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</si>
  <si>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</si>
  <si>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</si>
  <si>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</si>
  <si>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</si>
  <si>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</si>
  <si>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</si>
  <si>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</si>
  <si>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</si>
  <si>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</si>
  <si>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</si>
  <si>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</si>
  <si>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</si>
  <si>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</si>
  <si>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</si>
  <si>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</si>
  <si>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</si>
  <si>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</si>
  <si>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</si>
  <si>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</si>
  <si>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</si>
  <si>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</si>
  <si>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</si>
  <si>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</si>
  <si>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</si>
  <si>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</si>
  <si>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</si>
  <si>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</si>
  <si>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</si>
  <si>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</si>
  <si>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</si>
  <si>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</si>
  <si>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</si>
  <si>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</si>
  <si>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</si>
  <si>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</si>
  <si>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</si>
  <si>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</si>
  <si>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</si>
  <si>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</si>
  <si>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</si>
  <si>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</si>
  <si>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</si>
  <si>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</si>
  <si>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</si>
  <si>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</si>
  <si>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</si>
  <si>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</si>
  <si>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</si>
  <si>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</si>
  <si>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</si>
  <si>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</si>
  <si>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</si>
  <si>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</si>
  <si>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</si>
  <si>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</si>
  <si>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</si>
  <si>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</si>
  <si>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</si>
  <si>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</si>
  <si>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</si>
  <si>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</si>
  <si>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</si>
  <si>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</si>
  <si>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</si>
  <si>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</si>
  <si>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</si>
  <si>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</si>
  <si>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</si>
  <si>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</si>
  <si>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</si>
  <si>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</si>
  <si>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</si>
  <si>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</si>
  <si>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</si>
  <si>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</si>
  <si>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</si>
  <si>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</si>
  <si>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</si>
  <si>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</si>
  <si>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</si>
  <si>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</si>
  <si>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</si>
  <si>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</si>
  <si>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</si>
  <si>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</si>
  <si>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</si>
  <si>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</si>
  <si>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</si>
  <si>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</si>
  <si>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</si>
  <si>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</si>
  <si>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</si>
  <si>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</si>
  <si>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</si>
  <si>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</si>
  <si>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</si>
  <si>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</si>
  <si>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</si>
  <si>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</si>
  <si>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</si>
  <si>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</si>
  <si>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</si>
  <si>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</si>
  <si>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</si>
  <si>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</si>
  <si>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</si>
  <si>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</si>
  <si>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</si>
  <si>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</si>
  <si>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</si>
  <si>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</si>
  <si>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</si>
  <si>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</si>
  <si>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</si>
  <si>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</si>
  <si>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</si>
  <si>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</si>
  <si>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</si>
  <si>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</si>
  <si>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</si>
  <si>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</si>
  <si>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</si>
  <si>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</si>
  <si>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</si>
  <si>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</si>
  <si>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</si>
  <si>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</si>
  <si>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</si>
  <si>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</si>
  <si>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</si>
  <si>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</si>
  <si>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</si>
  <si>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</si>
  <si>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</si>
  <si>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</si>
  <si>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</si>
  <si>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</si>
  <si>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</si>
  <si>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</si>
  <si>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</si>
  <si>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</si>
  <si>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</si>
  <si>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</si>
  <si>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</si>
  <si>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</si>
  <si>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</si>
  <si>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</si>
  <si>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</si>
  <si>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</si>
  <si>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</si>
  <si>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</si>
  <si>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</si>
  <si>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</si>
  <si>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</si>
  <si>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</si>
  <si>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</si>
  <si>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</si>
  <si>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</si>
  <si>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</si>
  <si>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</si>
  <si>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</si>
  <si>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</si>
  <si>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</si>
  <si>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</si>
  <si>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</si>
  <si>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</si>
  <si>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</si>
  <si>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</si>
  <si>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</si>
  <si>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</si>
  <si>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</si>
  <si>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</si>
  <si>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</si>
  <si>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</si>
  <si>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</si>
  <si>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</si>
  <si>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</si>
  <si>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</si>
  <si>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</si>
  <si>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</si>
  <si>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</si>
  <si>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</si>
  <si>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</si>
  <si>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</si>
  <si>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</si>
  <si>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</si>
  <si>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</si>
  <si>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</si>
  <si>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</si>
  <si>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</si>
  <si>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</si>
  <si>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</si>
  <si>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</si>
  <si>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</si>
  <si>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</si>
  <si>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</si>
  <si>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</si>
  <si>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</si>
  <si>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</si>
  <si>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</si>
  <si>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</si>
  <si>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</si>
  <si>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</si>
  <si>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</si>
  <si>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</si>
  <si>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</si>
  <si>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</si>
  <si>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</si>
  <si>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</si>
  <si>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</si>
  <si>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</si>
  <si>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</si>
  <si>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</si>
  <si>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</si>
  <si>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</si>
  <si>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</si>
  <si>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</si>
  <si>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</si>
  <si>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</si>
  <si>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</si>
  <si>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</si>
  <si>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</si>
  <si>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</si>
  <si>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</si>
  <si>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</si>
  <si>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</si>
  <si>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</si>
  <si>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</si>
  <si>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</si>
  <si>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</si>
  <si>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</si>
  <si>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</si>
  <si>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</si>
  <si>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</si>
  <si>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</si>
  <si>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</si>
  <si>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</si>
  <si>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</si>
  <si>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</si>
  <si>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</si>
  <si>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</si>
  <si>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</si>
  <si>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</si>
  <si>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</si>
  <si>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Santa Cruz Highway 9 LP</t>
  </si>
  <si>
    <t xml:space="preserve">Santa Cruz Veterans Village </t>
  </si>
  <si>
    <t>Santa Cruz Highway 9 LLC</t>
  </si>
  <si>
    <t>Administrative GP</t>
  </si>
  <si>
    <t>Johnson &amp; Johnson Investments, LLC</t>
  </si>
  <si>
    <t>Managing GP</t>
  </si>
  <si>
    <t>Santa Cruz County Veterans Memorial Building Board of Trustees</t>
  </si>
  <si>
    <t>5251 Ericson Way</t>
  </si>
  <si>
    <t>Arcata</t>
  </si>
  <si>
    <t>CA</t>
  </si>
  <si>
    <t>Daniel J. Johnson</t>
  </si>
  <si>
    <t>(707) 822-9000</t>
  </si>
  <si>
    <t>djohnson@danco-group.com</t>
  </si>
  <si>
    <t xml:space="preserve">CA </t>
  </si>
  <si>
    <t>8705 Highway 9</t>
  </si>
  <si>
    <t>Ben Lomond</t>
  </si>
  <si>
    <t xml:space="preserve">078-273-15, 078-272-06 </t>
  </si>
  <si>
    <t>Danco Communities</t>
  </si>
  <si>
    <t>Arcata, CA 95521</t>
  </si>
  <si>
    <t>Chris Dart</t>
  </si>
  <si>
    <t>cdart@danco-group.com</t>
  </si>
  <si>
    <t>Danco Property Management</t>
  </si>
  <si>
    <t>Blair Brown</t>
  </si>
  <si>
    <t>707-825-1582</t>
  </si>
  <si>
    <t>707-822-9596</t>
  </si>
  <si>
    <t>blairbrown@danco-group.com</t>
  </si>
  <si>
    <t>Danco Builders Northwest</t>
  </si>
  <si>
    <t>5251 Ericson way</t>
  </si>
  <si>
    <t>(707) 825-1531</t>
  </si>
  <si>
    <t>(707) 822-9596</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</si>
  <si>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</si>
  <si>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</si>
  <si>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</si>
  <si>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</si>
  <si>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</si>
  <si>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</si>
  <si>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</si>
  <si>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</si>
  <si>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</si>
  <si>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</si>
  <si>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</si>
  <si>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</si>
  <si>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Ben Lomond Market</t>
  </si>
  <si>
    <t>9440 Mill Street</t>
  </si>
  <si>
    <t>Christy Clements</t>
  </si>
  <si>
    <t>831-535-2256</t>
  </si>
  <si>
    <t>https://www.benlomondmarket.com</t>
  </si>
  <si>
    <t>0.57 Miles</t>
  </si>
  <si>
    <t>Hwy 9 and Shadowbrook Rd Bus Stop</t>
  </si>
  <si>
    <t>Hwy 9 &amp; Shadowbrook Rd</t>
  </si>
  <si>
    <t>Ben Lomond, 95005</t>
  </si>
  <si>
    <t>0.03 Miles</t>
  </si>
  <si>
    <t>https://scmtd.com/en/routes/20193/35/6</t>
  </si>
  <si>
    <t xml:space="preserve">Highlands County Park </t>
  </si>
  <si>
    <t>8500 CA-9</t>
  </si>
  <si>
    <t>(831) 454-7901</t>
  </si>
  <si>
    <t>https://parks.santacruzcountyca.gov/Home/ExploreOurParksBeaches/AllCountyParks/HighlandsCountyPark.aspx</t>
  </si>
  <si>
    <t>0.15 Miles</t>
  </si>
  <si>
    <t>Ben Lomond Library</t>
  </si>
  <si>
    <t>9525 Mill St</t>
  </si>
  <si>
    <t>(831) 289-3030</t>
  </si>
  <si>
    <t>https://www.facebook.com/benlomondlibrary</t>
  </si>
  <si>
    <t>0.58 Miles</t>
  </si>
  <si>
    <t>July</t>
  </si>
  <si>
    <t>Member</t>
  </si>
  <si>
    <t>City of Santa Cruz</t>
  </si>
  <si>
    <t>Matt Huffaker</t>
  </si>
  <si>
    <t>809 Center Street, Room 10</t>
  </si>
  <si>
    <t>831-420-5010</t>
  </si>
  <si>
    <t>831-420-5011</t>
  </si>
  <si>
    <t>Hailey Del grande</t>
  </si>
  <si>
    <t>hdelgrande@danco-group.com</t>
  </si>
  <si>
    <t>(707) 825-1580</t>
  </si>
  <si>
    <t>Developer</t>
  </si>
  <si>
    <t>mhuffaker@santacruzca.gov</t>
  </si>
  <si>
    <t>Redwood Energy</t>
  </si>
  <si>
    <t xml:space="preserve">1887 Q Street </t>
  </si>
  <si>
    <t>Sean Armstrong</t>
  </si>
  <si>
    <t>(707) 822-1857</t>
  </si>
  <si>
    <t>sarmstrong@gmail.com</t>
  </si>
  <si>
    <t>40%/60%</t>
  </si>
  <si>
    <t>Nielsen Studios</t>
  </si>
  <si>
    <t>228-B Fern Street</t>
  </si>
  <si>
    <t>Santa Cruz, CA 95005</t>
  </si>
  <si>
    <t>cnielsen@nielsenarchitects.com</t>
  </si>
  <si>
    <t>Christian Nielsen</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</si>
  <si>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</si>
  <si>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</si>
  <si>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</si>
  <si>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</si>
  <si>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</si>
  <si>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</si>
  <si>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</si>
  <si>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</si>
  <si>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</si>
  <si>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</si>
  <si>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</si>
  <si>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</si>
  <si>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</si>
  <si>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N/A Site is owned</t>
  </si>
  <si>
    <t>Other (Specify below)</t>
  </si>
  <si>
    <t>VA</t>
  </si>
  <si>
    <t>n/A</t>
  </si>
  <si>
    <t>Homekey</t>
  </si>
  <si>
    <t>Citi Bank Perm Loan</t>
  </si>
  <si>
    <t xml:space="preserve">Homekey </t>
  </si>
  <si>
    <t>Equity</t>
  </si>
  <si>
    <t>Two Embarcadero Center, 17th Floor</t>
  </si>
  <si>
    <t>San Francisco, CA 94111</t>
  </si>
  <si>
    <t>Jacob St. Onge</t>
  </si>
  <si>
    <t>415-658-3118</t>
  </si>
  <si>
    <t>Construction Loan</t>
  </si>
  <si>
    <t>Boston Financial Tax Credit Equity</t>
  </si>
  <si>
    <t xml:space="preserve">8335 Sunset Blvd, Ste 203 </t>
  </si>
  <si>
    <t>202 W. El Camino Avenue, Suite 670</t>
  </si>
  <si>
    <t>Sacramento, CA 94252</t>
  </si>
  <si>
    <t>Jennifer Seeger</t>
  </si>
  <si>
    <t>Soft</t>
  </si>
  <si>
    <t>Citi Bank Construction Loan</t>
  </si>
  <si>
    <t>Conventional</t>
  </si>
  <si>
    <t xml:space="preserve">Soft </t>
  </si>
  <si>
    <t>tBD</t>
  </si>
  <si>
    <t>Owner Paying all Utilities</t>
  </si>
  <si>
    <t>Homkey</t>
  </si>
  <si>
    <t>HUD VASH</t>
  </si>
  <si>
    <t>Project-based vouchers (PBVs)</t>
  </si>
  <si>
    <t>Modulars</t>
  </si>
  <si>
    <t>Inspection Fees</t>
  </si>
  <si>
    <t>Borrower's Attorney</t>
  </si>
  <si>
    <t>Relocation</t>
  </si>
  <si>
    <t xml:space="preserve">Financial Consultant </t>
  </si>
  <si>
    <t>Federal Prevailing Wage - PBV's</t>
  </si>
  <si>
    <t>1 bedroom</t>
  </si>
  <si>
    <t>2 bedroom</t>
  </si>
  <si>
    <t xml:space="preserve">Cabins that are a mix of studios, one bedrooms, two bedroom and four bedroom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</si>
</sst>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O69" sqref="O69"/>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5" t="s">
        <v>1862</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0" t="s">
        <v>2119</v>
      </c>
      <c r="C4" s="1930"/>
      <c r="D4" s="1930"/>
      <c r="E4" s="1930"/>
      <c r="F4" s="1930"/>
      <c r="G4" s="1930"/>
      <c r="H4" s="1930"/>
      <c r="I4" s="1930"/>
      <c r="J4" s="1930"/>
      <c r="K4" s="1930"/>
      <c r="L4" s="1930"/>
      <c r="M4" s="1930"/>
      <c r="N4" s="1930"/>
      <c r="O4" s="1930"/>
      <c r="P4" s="1930"/>
      <c r="Q4" s="1930"/>
      <c r="R4" s="1930"/>
    </row>
    <row r="5" spans="1:19" ht="15" customHeight="1">
      <c r="A5" s="507"/>
      <c r="B5" s="1930"/>
      <c r="C5" s="1930"/>
      <c r="D5" s="1930"/>
      <c r="E5" s="1930"/>
      <c r="F5" s="1930"/>
      <c r="G5" s="1930"/>
      <c r="H5" s="1930"/>
      <c r="I5" s="1930"/>
      <c r="J5" s="1930"/>
      <c r="K5" s="1930"/>
      <c r="L5" s="1930"/>
      <c r="M5" s="1930"/>
      <c r="N5" s="1930"/>
      <c r="O5" s="1930"/>
      <c r="P5" s="1930"/>
      <c r="Q5" s="1930"/>
      <c r="R5" s="1930"/>
    </row>
    <row r="6" spans="1:19" ht="15" customHeight="1">
      <c r="A6" s="507"/>
      <c r="B6" s="1930"/>
      <c r="C6" s="1930"/>
      <c r="D6" s="1930"/>
      <c r="E6" s="1930"/>
      <c r="F6" s="1930"/>
      <c r="G6" s="1930"/>
      <c r="H6" s="1930"/>
      <c r="I6" s="1930"/>
      <c r="J6" s="1930"/>
      <c r="K6" s="1930"/>
      <c r="L6" s="1930"/>
      <c r="M6" s="1930"/>
      <c r="N6" s="1930"/>
      <c r="O6" s="1930"/>
      <c r="P6" s="1930"/>
      <c r="Q6" s="1930"/>
      <c r="R6" s="193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0" t="s">
        <v>2226</v>
      </c>
      <c r="C8" s="1930"/>
      <c r="D8" s="1930"/>
      <c r="E8" s="1930"/>
      <c r="F8" s="1930"/>
      <c r="G8" s="1930"/>
      <c r="H8" s="1930"/>
      <c r="I8" s="1930"/>
      <c r="J8" s="1930"/>
      <c r="K8" s="1930"/>
      <c r="L8" s="1930"/>
      <c r="M8" s="1930"/>
      <c r="N8" s="1930"/>
      <c r="O8" s="1930"/>
      <c r="P8" s="1930"/>
      <c r="Q8" s="1930"/>
      <c r="R8" s="193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0" t="s">
        <v>2205</v>
      </c>
      <c r="C10" s="1930"/>
      <c r="D10" s="1930"/>
      <c r="E10" s="1930"/>
      <c r="F10" s="1930"/>
      <c r="G10" s="1930"/>
      <c r="H10" s="1930"/>
      <c r="I10" s="1930"/>
      <c r="J10" s="1930"/>
      <c r="K10" s="1930"/>
      <c r="L10" s="1930"/>
      <c r="M10" s="1930"/>
      <c r="N10" s="1930"/>
      <c r="O10" s="1930"/>
      <c r="P10" s="1930"/>
      <c r="Q10" s="1930"/>
      <c r="R10" s="1930"/>
    </row>
    <row r="11" spans="1:19" ht="29.25" customHeight="1">
      <c r="A11" s="507"/>
      <c r="B11" s="1930"/>
      <c r="C11" s="1930"/>
      <c r="D11" s="1930"/>
      <c r="E11" s="1930"/>
      <c r="F11" s="1930"/>
      <c r="G11" s="1930"/>
      <c r="H11" s="1930"/>
      <c r="I11" s="1930"/>
      <c r="J11" s="1930"/>
      <c r="K11" s="1930"/>
      <c r="L11" s="1930"/>
      <c r="M11" s="1930"/>
      <c r="N11" s="1930"/>
      <c r="O11" s="1930"/>
      <c r="P11" s="1930"/>
      <c r="Q11" s="1930"/>
      <c r="R11" s="193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0" t="s">
        <v>2120</v>
      </c>
      <c r="C13" s="1930"/>
      <c r="D13" s="1930"/>
      <c r="E13" s="1930"/>
      <c r="F13" s="1930"/>
      <c r="G13" s="1930"/>
      <c r="H13" s="1930"/>
      <c r="I13" s="1930"/>
      <c r="J13" s="1930"/>
      <c r="K13" s="1930"/>
      <c r="L13" s="1930"/>
      <c r="M13" s="1930"/>
      <c r="N13" s="1930"/>
      <c r="O13" s="1930"/>
      <c r="P13" s="1930"/>
      <c r="Q13" s="1930"/>
      <c r="R13" s="1930"/>
    </row>
    <row r="14" spans="1:19" ht="15" customHeight="1">
      <c r="A14" s="507"/>
      <c r="B14" s="1930"/>
      <c r="C14" s="1930"/>
      <c r="D14" s="1930"/>
      <c r="E14" s="1930"/>
      <c r="F14" s="1930"/>
      <c r="G14" s="1930"/>
      <c r="H14" s="1930"/>
      <c r="I14" s="1930"/>
      <c r="J14" s="1930"/>
      <c r="K14" s="1930"/>
      <c r="L14" s="1930"/>
      <c r="M14" s="1930"/>
      <c r="N14" s="1930"/>
      <c r="O14" s="1930"/>
      <c r="P14" s="1930"/>
      <c r="Q14" s="1930"/>
      <c r="R14" s="1930"/>
    </row>
    <row r="15" spans="1:19" ht="15" customHeight="1">
      <c r="A15" s="507"/>
      <c r="B15" s="1930"/>
      <c r="C15" s="1930"/>
      <c r="D15" s="1930"/>
      <c r="E15" s="1930"/>
      <c r="F15" s="1930"/>
      <c r="G15" s="1930"/>
      <c r="H15" s="1930"/>
      <c r="I15" s="1930"/>
      <c r="J15" s="1930"/>
      <c r="K15" s="1930"/>
      <c r="L15" s="1930"/>
      <c r="M15" s="1930"/>
      <c r="N15" s="1930"/>
      <c r="O15" s="1930"/>
      <c r="P15" s="1930"/>
      <c r="Q15" s="1930"/>
      <c r="R15" s="1930"/>
    </row>
    <row r="16" spans="1:19" ht="15" customHeight="1">
      <c r="A16" s="507"/>
      <c r="B16" s="1930"/>
      <c r="C16" s="1930"/>
      <c r="D16" s="1930"/>
      <c r="E16" s="1930"/>
      <c r="F16" s="1930"/>
      <c r="G16" s="1930"/>
      <c r="H16" s="1930"/>
      <c r="I16" s="1930"/>
      <c r="J16" s="1930"/>
      <c r="K16" s="1930"/>
      <c r="L16" s="1930"/>
      <c r="M16" s="1930"/>
      <c r="N16" s="1930"/>
      <c r="O16" s="1930"/>
      <c r="P16" s="1930"/>
      <c r="Q16" s="1930"/>
      <c r="R16" s="1930"/>
    </row>
    <row r="17" spans="1:18" ht="15" customHeight="1">
      <c r="A17" s="507"/>
      <c r="B17" s="1930"/>
      <c r="C17" s="1930"/>
      <c r="D17" s="1930"/>
      <c r="E17" s="1930"/>
      <c r="F17" s="1930"/>
      <c r="G17" s="1930"/>
      <c r="H17" s="1930"/>
      <c r="I17" s="1930"/>
      <c r="J17" s="1930"/>
      <c r="K17" s="1930"/>
      <c r="L17" s="1930"/>
      <c r="M17" s="1930"/>
      <c r="N17" s="1930"/>
      <c r="O17" s="1930"/>
      <c r="P17" s="1930"/>
      <c r="Q17" s="1930"/>
      <c r="R17" s="193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0" t="s">
        <v>1801</v>
      </c>
      <c r="C19" s="1930"/>
      <c r="D19" s="1930"/>
      <c r="E19" s="1930"/>
      <c r="F19" s="1930"/>
      <c r="G19" s="1930"/>
      <c r="H19" s="1930"/>
      <c r="I19" s="1930"/>
      <c r="J19" s="1930"/>
      <c r="K19" s="1930"/>
      <c r="L19" s="1930"/>
      <c r="M19" s="1930"/>
      <c r="N19" s="1930"/>
      <c r="O19" s="1930"/>
      <c r="P19" s="1930"/>
      <c r="Q19" s="1930"/>
      <c r="R19" s="1930"/>
    </row>
    <row r="20" spans="1:18" ht="15" customHeight="1">
      <c r="A20" s="507"/>
      <c r="B20" s="1930"/>
      <c r="C20" s="1930"/>
      <c r="D20" s="1930"/>
      <c r="E20" s="1930"/>
      <c r="F20" s="1930"/>
      <c r="G20" s="1930"/>
      <c r="H20" s="1930"/>
      <c r="I20" s="1930"/>
      <c r="J20" s="1930"/>
      <c r="K20" s="1930"/>
      <c r="L20" s="1930"/>
      <c r="M20" s="1930"/>
      <c r="N20" s="1930"/>
      <c r="O20" s="1930"/>
      <c r="P20" s="1930"/>
      <c r="Q20" s="1930"/>
      <c r="R20" s="1930"/>
    </row>
    <row r="21" spans="1:18" ht="15" customHeight="1">
      <c r="A21" s="507"/>
      <c r="B21" s="1930"/>
      <c r="C21" s="1930"/>
      <c r="D21" s="1930"/>
      <c r="E21" s="1930"/>
      <c r="F21" s="1930"/>
      <c r="G21" s="1930"/>
      <c r="H21" s="1930"/>
      <c r="I21" s="1930"/>
      <c r="J21" s="1930"/>
      <c r="K21" s="1930"/>
      <c r="L21" s="1930"/>
      <c r="M21" s="1930"/>
      <c r="N21" s="1930"/>
      <c r="O21" s="1930"/>
      <c r="P21" s="1930"/>
      <c r="Q21" s="1930"/>
      <c r="R21" s="193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0" t="s">
        <v>1802</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0" t="s">
        <v>1695</v>
      </c>
      <c r="C26" s="1930"/>
      <c r="D26" s="1930"/>
      <c r="E26" s="1930"/>
      <c r="F26" s="1930"/>
      <c r="G26" s="1930"/>
      <c r="H26" s="1930"/>
      <c r="I26" s="1930"/>
      <c r="J26" s="1930"/>
      <c r="K26" s="1930"/>
      <c r="L26" s="1930"/>
      <c r="M26" s="1930"/>
      <c r="N26" s="1930"/>
      <c r="O26" s="1930"/>
      <c r="P26" s="1930"/>
      <c r="Q26" s="1930"/>
      <c r="R26" s="193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6" t="s">
        <v>1608</v>
      </c>
      <c r="C29" s="1956"/>
      <c r="D29" s="1956"/>
      <c r="E29" s="1956"/>
      <c r="F29" s="1956"/>
      <c r="G29" s="1956"/>
      <c r="H29" s="376"/>
      <c r="I29" s="376"/>
      <c r="J29" s="376"/>
      <c r="K29" s="376"/>
      <c r="L29" s="376"/>
      <c r="M29" s="376"/>
      <c r="N29" s="376"/>
      <c r="O29" s="1954" t="s">
        <v>1617</v>
      </c>
    </row>
    <row r="30" spans="1:18" ht="15" customHeight="1">
      <c r="B30" s="1956"/>
      <c r="C30" s="1956"/>
      <c r="D30" s="1956"/>
      <c r="E30" s="1956"/>
      <c r="F30" s="1956"/>
      <c r="G30" s="1956"/>
      <c r="H30" s="376"/>
      <c r="I30" s="376"/>
      <c r="J30" s="376"/>
      <c r="K30" s="376"/>
      <c r="L30" s="376"/>
      <c r="M30" s="376"/>
      <c r="N30" s="376"/>
      <c r="O30" s="1954"/>
    </row>
    <row r="31" spans="1:18" ht="15" customHeight="1">
      <c r="B31" s="1956"/>
      <c r="C31" s="1956"/>
      <c r="D31" s="1956"/>
      <c r="E31" s="1956"/>
      <c r="F31" s="1956"/>
      <c r="G31" s="1956"/>
      <c r="H31" s="376"/>
      <c r="I31" s="376"/>
      <c r="J31" s="376"/>
      <c r="K31" s="376"/>
      <c r="L31" s="376"/>
      <c r="M31" s="376"/>
      <c r="N31" s="376"/>
      <c r="O31" s="1954"/>
    </row>
    <row r="32" spans="1:18" ht="15" customHeight="1">
      <c r="B32" s="1957"/>
      <c r="C32" s="1957"/>
      <c r="D32" s="1957"/>
      <c r="E32" s="1957"/>
      <c r="F32" s="1957"/>
      <c r="G32" s="1957"/>
      <c r="I32" s="1923" t="s">
        <v>139</v>
      </c>
      <c r="J32" s="1924" t="s">
        <v>992</v>
      </c>
      <c r="K32" s="1958">
        <v>1</v>
      </c>
      <c r="M32" s="509"/>
      <c r="O32" s="1955"/>
      <c r="P32" s="1924" t="s">
        <v>1940</v>
      </c>
    </row>
    <row r="33" spans="1:21" ht="15" customHeight="1">
      <c r="B33" s="1959" t="s">
        <v>1612</v>
      </c>
      <c r="C33" s="1959"/>
      <c r="D33" s="1959"/>
      <c r="E33" s="1959"/>
      <c r="F33" s="1959"/>
      <c r="G33" s="1959"/>
      <c r="I33" s="1923"/>
      <c r="J33" s="1924"/>
      <c r="K33" s="1958"/>
      <c r="M33" s="510"/>
      <c r="O33" s="1959" t="s">
        <v>1612</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6" t="s">
        <v>1602</v>
      </c>
      <c r="C37" s="1946"/>
      <c r="D37" s="1946"/>
      <c r="E37" s="1946"/>
      <c r="F37" s="516"/>
      <c r="G37" s="516"/>
      <c r="H37" s="517"/>
      <c r="I37" s="376"/>
      <c r="J37" s="376"/>
      <c r="L37" s="529"/>
      <c r="M37" s="529"/>
      <c r="N37" s="529"/>
      <c r="O37" s="529"/>
      <c r="P37" s="529"/>
      <c r="Q37" s="529"/>
      <c r="R37" s="529"/>
      <c r="S37" s="529"/>
    </row>
    <row r="38" spans="1:21" ht="15" customHeight="1">
      <c r="B38" s="1933" t="s">
        <v>1618</v>
      </c>
      <c r="C38" s="1933"/>
      <c r="D38" s="1933"/>
      <c r="E38" s="1933"/>
      <c r="F38" s="650"/>
      <c r="G38" s="518">
        <f>D110</f>
        <v>2105846.9542197706</v>
      </c>
      <c r="H38" s="384"/>
      <c r="I38" s="519"/>
      <c r="J38" s="384"/>
      <c r="K38" s="1942" t="s">
        <v>2223</v>
      </c>
      <c r="L38" s="1942"/>
      <c r="M38" s="1942"/>
      <c r="N38" s="1942"/>
      <c r="O38" s="1942"/>
      <c r="P38" s="1942"/>
      <c r="Q38" s="1942"/>
      <c r="R38" s="1942"/>
      <c r="S38" s="1942"/>
    </row>
    <row r="39" spans="1:21" ht="15" customHeight="1">
      <c r="B39" s="1941" t="s">
        <v>1283</v>
      </c>
      <c r="C39" s="1941"/>
      <c r="D39" s="1941"/>
      <c r="E39" s="1941"/>
      <c r="F39" s="650"/>
      <c r="G39" s="632"/>
      <c r="H39" s="384"/>
      <c r="I39" s="519"/>
      <c r="J39" s="384"/>
      <c r="K39" s="1942"/>
      <c r="L39" s="1942"/>
      <c r="M39" s="1942"/>
      <c r="N39" s="1942"/>
      <c r="O39" s="1942"/>
      <c r="P39" s="1942"/>
      <c r="Q39" s="1942"/>
      <c r="R39" s="1942"/>
      <c r="S39" s="1942"/>
    </row>
    <row r="40" spans="1:21" ht="15" customHeight="1">
      <c r="B40" s="1941" t="s">
        <v>1284</v>
      </c>
      <c r="C40" s="1941"/>
      <c r="D40" s="1941"/>
      <c r="E40" s="1941"/>
      <c r="F40" s="650"/>
      <c r="G40" s="632"/>
      <c r="H40" s="384"/>
      <c r="I40" s="519"/>
      <c r="J40" s="384"/>
      <c r="K40" s="1942"/>
      <c r="L40" s="1942"/>
      <c r="M40" s="1942"/>
      <c r="N40" s="1942"/>
      <c r="O40" s="1942"/>
      <c r="P40" s="1942"/>
      <c r="Q40" s="1942"/>
      <c r="R40" s="1942"/>
      <c r="S40" s="1942"/>
    </row>
    <row r="41" spans="1:21" ht="15" customHeight="1">
      <c r="B41" s="1951" t="s">
        <v>1613</v>
      </c>
      <c r="C41" s="1951"/>
      <c r="D41" s="1951"/>
      <c r="E41" s="1951"/>
      <c r="F41" s="650"/>
      <c r="G41" s="384"/>
      <c r="H41" s="384"/>
      <c r="I41" s="519"/>
      <c r="J41" s="384"/>
      <c r="K41" s="1935" t="s">
        <v>124</v>
      </c>
      <c r="L41" s="1935"/>
      <c r="M41" s="1935"/>
      <c r="N41" s="1935"/>
      <c r="O41" s="1935"/>
      <c r="P41" s="1935"/>
      <c r="Q41" s="1935"/>
      <c r="R41" s="1935"/>
      <c r="S41" s="1935"/>
    </row>
    <row r="42" spans="1:21" ht="15" customHeight="1">
      <c r="B42" s="634" t="s">
        <v>2424</v>
      </c>
      <c r="C42" s="634"/>
      <c r="D42" s="628"/>
      <c r="E42" s="652">
        <f>+Application!AO622</f>
        <v>6425000</v>
      </c>
      <c r="F42" s="650"/>
      <c r="G42" s="384"/>
      <c r="H42" s="384"/>
      <c r="I42" s="519"/>
      <c r="J42" s="384"/>
      <c r="K42" s="1940"/>
      <c r="L42" s="1940"/>
      <c r="M42" s="1940"/>
      <c r="N42" s="1940"/>
      <c r="O42" s="1940"/>
      <c r="Q42" s="1920"/>
      <c r="R42" s="1920"/>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20"/>
      <c r="R44" s="1920"/>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7" t="s">
        <v>1849</v>
      </c>
      <c r="L46" s="1917"/>
      <c r="M46" s="1917"/>
      <c r="N46" s="1917"/>
      <c r="O46" s="1917"/>
      <c r="Q46" s="1915"/>
      <c r="R46" s="1915"/>
    </row>
    <row r="47" spans="1:21" ht="15" customHeight="1">
      <c r="B47" s="634"/>
      <c r="C47" s="634"/>
      <c r="D47" s="504"/>
      <c r="E47" s="652"/>
      <c r="F47" s="650"/>
      <c r="G47" s="384"/>
      <c r="H47" s="384"/>
      <c r="I47" s="519"/>
      <c r="J47" s="384"/>
      <c r="K47" s="1916" t="s">
        <v>1850</v>
      </c>
      <c r="L47" s="1916"/>
      <c r="M47" s="1916"/>
      <c r="N47" s="1916"/>
      <c r="O47" s="1916"/>
      <c r="Q47" s="1953"/>
      <c r="R47" s="1953"/>
    </row>
    <row r="48" spans="1:21" ht="15" customHeight="1">
      <c r="B48" s="634"/>
      <c r="C48" s="634"/>
      <c r="D48" s="504"/>
      <c r="E48" s="652"/>
      <c r="F48" s="650"/>
      <c r="G48" s="384"/>
      <c r="H48" s="384"/>
      <c r="I48" s="519"/>
      <c r="J48" s="384"/>
      <c r="K48" s="1952" t="s">
        <v>1851</v>
      </c>
      <c r="L48" s="1952"/>
      <c r="M48" s="1952"/>
      <c r="N48" s="1952"/>
      <c r="O48" s="1952"/>
      <c r="Q48" s="1917">
        <f>Q46+Q47</f>
        <v>0</v>
      </c>
      <c r="R48" s="1917"/>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3" t="s">
        <v>1609</v>
      </c>
      <c r="C52" s="1933"/>
      <c r="D52" s="1933"/>
      <c r="E52" s="1933"/>
      <c r="F52" s="650"/>
      <c r="G52" s="518">
        <f>SUM(E42:E49)-ABS(E50)-ABS(E51)</f>
        <v>6425000</v>
      </c>
      <c r="H52" s="384"/>
      <c r="I52" s="519"/>
      <c r="J52" s="384"/>
    </row>
    <row r="53" spans="1:29" ht="15" customHeight="1">
      <c r="C53" s="523"/>
      <c r="D53" s="523" t="s">
        <v>875</v>
      </c>
      <c r="E53" s="523"/>
      <c r="F53" s="523"/>
      <c r="G53" s="524">
        <f>SUM(G38:G40)+G52</f>
        <v>8530846.9542197697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2" t="s">
        <v>1264</v>
      </c>
      <c r="C56" s="1932"/>
      <c r="D56" s="650"/>
      <c r="E56" s="650"/>
      <c r="F56" s="650"/>
      <c r="G56" s="650"/>
      <c r="H56" s="650"/>
      <c r="I56" s="650"/>
      <c r="J56" s="650"/>
      <c r="K56" s="650"/>
      <c r="L56" s="650"/>
      <c r="M56" s="650"/>
      <c r="N56" s="650"/>
      <c r="O56" s="650"/>
      <c r="P56" s="650"/>
      <c r="U56" s="952" t="s">
        <v>1796</v>
      </c>
      <c r="AC56" s="953">
        <v>0.2</v>
      </c>
    </row>
    <row r="57" spans="1:29" ht="15" customHeight="1">
      <c r="A57" s="521"/>
      <c r="B57" s="1931" t="s">
        <v>1604</v>
      </c>
      <c r="C57" s="1931"/>
      <c r="D57" s="1931"/>
      <c r="E57" s="1931"/>
      <c r="F57" s="1931"/>
      <c r="G57" s="1931"/>
      <c r="H57" s="1931"/>
      <c r="I57" s="1931"/>
      <c r="J57" s="1931"/>
      <c r="K57" s="1931"/>
      <c r="L57" s="1931"/>
      <c r="M57" s="1931"/>
      <c r="N57" s="1931"/>
      <c r="O57" s="1931"/>
      <c r="P57" s="650"/>
      <c r="U57" s="952" t="s">
        <v>1797</v>
      </c>
      <c r="AC57" s="953">
        <v>0.1</v>
      </c>
    </row>
    <row r="58" spans="1:29" ht="15" customHeight="1">
      <c r="B58" s="1946" t="s">
        <v>2221</v>
      </c>
      <c r="C58" s="1947"/>
      <c r="D58" s="1947"/>
      <c r="E58" s="1947"/>
      <c r="F58" s="526"/>
      <c r="G58" s="526"/>
      <c r="H58" s="516"/>
      <c r="I58" s="516"/>
      <c r="J58" s="1948">
        <f>('Sources and Uses Budget'!D104+Q47)/('Sources and Uses Budget'!B104+Q48)</f>
        <v>0</v>
      </c>
      <c r="K58" s="1949"/>
      <c r="L58" s="1949"/>
      <c r="M58" s="1949"/>
      <c r="N58" s="1950"/>
      <c r="O58" s="516"/>
      <c r="P58" s="516"/>
      <c r="U58" s="952" t="s">
        <v>1798</v>
      </c>
      <c r="AC58" s="953">
        <v>0.1</v>
      </c>
    </row>
    <row r="59" spans="1:29" ht="15" customHeight="1">
      <c r="B59" s="1930" t="s">
        <v>2121</v>
      </c>
      <c r="C59" s="1930"/>
      <c r="D59" s="1930"/>
      <c r="E59" s="1930"/>
      <c r="F59" s="1930"/>
      <c r="G59" s="1930"/>
      <c r="H59" s="1930"/>
      <c r="I59" s="1930"/>
      <c r="J59" s="1930"/>
      <c r="K59" s="1930"/>
      <c r="L59" s="1930"/>
      <c r="M59" s="1930"/>
      <c r="N59" s="1930"/>
      <c r="O59" s="1930"/>
      <c r="P59" s="516"/>
      <c r="U59" s="952" t="s">
        <v>1799</v>
      </c>
      <c r="AC59" s="953">
        <v>0.05</v>
      </c>
    </row>
    <row r="60" spans="1:29" ht="15" customHeight="1">
      <c r="B60" s="1930"/>
      <c r="C60" s="1930"/>
      <c r="D60" s="1930"/>
      <c r="E60" s="1930"/>
      <c r="F60" s="1930"/>
      <c r="G60" s="1930"/>
      <c r="H60" s="1930"/>
      <c r="I60" s="1930"/>
      <c r="J60" s="1930"/>
      <c r="K60" s="1930"/>
      <c r="L60" s="1930"/>
      <c r="M60" s="1930"/>
      <c r="N60" s="1930"/>
      <c r="O60" s="1930"/>
      <c r="P60" s="516"/>
      <c r="AC60" s="954"/>
    </row>
    <row r="61" spans="1:29" ht="15" customHeight="1">
      <c r="B61" s="193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1"/>
      <c r="D61" s="1931"/>
      <c r="E61" s="1931"/>
      <c r="F61" s="1931"/>
      <c r="G61" s="1931"/>
      <c r="H61" s="1931"/>
      <c r="I61" s="1931"/>
      <c r="J61" s="1931"/>
      <c r="K61" s="1931"/>
      <c r="L61" s="1931"/>
      <c r="M61" s="1931"/>
      <c r="N61" s="1931"/>
      <c r="O61" s="193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6" t="s">
        <v>2224</v>
      </c>
      <c r="K63" s="1937"/>
      <c r="L63" s="1937"/>
      <c r="M63" s="1937"/>
      <c r="N63" s="1937"/>
      <c r="O63" s="1937"/>
      <c r="P63" s="1937"/>
      <c r="Q63" s="1937"/>
      <c r="R63" s="1937"/>
    </row>
    <row r="64" spans="1:29" ht="15" customHeight="1" thickBot="1">
      <c r="B64" s="1932" t="s">
        <v>1614</v>
      </c>
      <c r="C64" s="1932"/>
      <c r="D64" s="376"/>
      <c r="F64" s="376"/>
      <c r="G64" s="523" t="s">
        <v>1852</v>
      </c>
      <c r="H64" s="376"/>
      <c r="I64" s="758"/>
      <c r="J64" s="1938"/>
      <c r="K64" s="1939"/>
      <c r="L64" s="1939"/>
      <c r="M64" s="1939"/>
      <c r="N64" s="1939"/>
      <c r="O64" s="1939"/>
      <c r="P64" s="1939"/>
      <c r="Q64" s="1939"/>
      <c r="R64" s="1939"/>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8"/>
      <c r="K65" s="1939"/>
      <c r="L65" s="1939"/>
      <c r="M65" s="1939"/>
      <c r="N65" s="1939"/>
      <c r="O65" s="1939"/>
      <c r="P65" s="1939"/>
      <c r="Q65" s="1939"/>
      <c r="R65" s="1939"/>
      <c r="U65" s="951">
        <f>IF(J67="Non-rural project, Census Tract is Highest Resource (20 percentage points)",AC56,0)</f>
        <v>0</v>
      </c>
    </row>
    <row r="66" spans="1:22" ht="15" customHeight="1" thickBot="1">
      <c r="B66" s="528" t="s">
        <v>1683</v>
      </c>
      <c r="C66" s="638">
        <f>Application!AG430-Application!AG431</f>
        <v>21</v>
      </c>
      <c r="D66" s="788"/>
      <c r="E66" s="528" t="s">
        <v>1855</v>
      </c>
      <c r="F66" s="788"/>
      <c r="G66" s="655"/>
      <c r="H66" s="529"/>
      <c r="I66" s="759"/>
      <c r="J66" s="1938"/>
      <c r="K66" s="1939"/>
      <c r="L66" s="1939"/>
      <c r="M66" s="1939"/>
      <c r="N66" s="1939"/>
      <c r="O66" s="1939"/>
      <c r="P66" s="1939"/>
      <c r="Q66" s="1939"/>
      <c r="R66" s="1939"/>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21</v>
      </c>
      <c r="H67" s="529"/>
      <c r="I67" s="759"/>
      <c r="J67" s="1934" t="s">
        <v>124</v>
      </c>
      <c r="K67" s="1935"/>
      <c r="L67" s="1935"/>
      <c r="M67" s="1935"/>
      <c r="N67" s="1935"/>
      <c r="O67" s="1935"/>
      <c r="P67" s="1935"/>
      <c r="Q67" s="1935"/>
      <c r="R67" s="193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3">
        <f>SUM(U62:U68)</f>
        <v>0</v>
      </c>
    </row>
    <row r="70" spans="1:22" ht="15" customHeight="1" thickBot="1">
      <c r="B70" s="508" t="s">
        <v>1611</v>
      </c>
      <c r="C70" s="508"/>
      <c r="D70" s="508"/>
      <c r="E70" s="508"/>
      <c r="F70" s="508"/>
      <c r="G70" s="508"/>
      <c r="U70" s="1944"/>
      <c r="V70" s="373" t="s">
        <v>1800</v>
      </c>
    </row>
    <row r="71" spans="1:22" ht="15" customHeight="1">
      <c r="B71" s="1933" t="s">
        <v>1615</v>
      </c>
      <c r="C71" s="1933"/>
      <c r="D71" s="1933"/>
      <c r="E71" s="508"/>
      <c r="F71" s="508"/>
      <c r="G71" s="518">
        <f>G53*(1-J58)</f>
        <v>8530846.9542197697</v>
      </c>
      <c r="J71" s="530"/>
      <c r="K71" s="687" t="s">
        <v>1617</v>
      </c>
      <c r="L71" s="687"/>
      <c r="M71" s="687"/>
      <c r="N71" s="687"/>
      <c r="O71" s="687"/>
      <c r="Q71" s="1917">
        <f>'Basis &amp; Credits'!T23+'Basis &amp; Credits'!Y23+'Basis &amp; Credits'!AD23+'Basis &amp; Credits'!AI23</f>
        <v>10463588</v>
      </c>
      <c r="R71" s="1917"/>
    </row>
    <row r="72" spans="1:22" ht="15" customHeight="1">
      <c r="B72" s="1919" t="s">
        <v>1616</v>
      </c>
      <c r="C72" s="1919"/>
      <c r="D72" s="1919"/>
      <c r="E72" s="508"/>
      <c r="F72" s="508"/>
      <c r="G72" s="518">
        <f>G71*C67</f>
        <v>8530846.9542197697</v>
      </c>
      <c r="J72" s="530"/>
      <c r="K72" s="650"/>
      <c r="L72" s="650"/>
      <c r="M72" s="650"/>
      <c r="N72" s="650"/>
      <c r="O72" s="650"/>
      <c r="Q72" s="1920"/>
      <c r="R72" s="192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1">
        <f>$G$72</f>
        <v>8530846.9542197697</v>
      </c>
      <c r="C75" s="1922"/>
      <c r="D75" s="1922"/>
      <c r="E75" s="1922"/>
      <c r="F75" s="1922"/>
      <c r="G75" s="1922"/>
      <c r="H75" s="531"/>
      <c r="I75" s="1923" t="s">
        <v>139</v>
      </c>
      <c r="J75" s="1924" t="s">
        <v>992</v>
      </c>
      <c r="K75" s="1923">
        <v>1</v>
      </c>
      <c r="M75" s="395"/>
      <c r="N75" s="510"/>
      <c r="O75" s="657">
        <f>$Q$71</f>
        <v>10463588</v>
      </c>
      <c r="P75" s="1924" t="s">
        <v>1940</v>
      </c>
      <c r="Q75" s="1925" t="s">
        <v>138</v>
      </c>
      <c r="R75" s="1928">
        <f>((B75/B76)+((1-(O75/O76))/2))+U69</f>
        <v>0.66641066305588581</v>
      </c>
    </row>
    <row r="76" spans="1:22" ht="15" customHeight="1" thickBot="1">
      <c r="B76" s="1926">
        <f>'Sources and Uses Budget'!$C$104+$Q$46-($E$50+$E$51)*(1-$J$58)</f>
        <v>19824769</v>
      </c>
      <c r="C76" s="1927"/>
      <c r="D76" s="1927"/>
      <c r="E76" s="1927"/>
      <c r="F76" s="1927"/>
      <c r="G76" s="1926"/>
      <c r="I76" s="1923"/>
      <c r="J76" s="1924"/>
      <c r="K76" s="1923"/>
      <c r="M76" s="648"/>
      <c r="O76" s="656">
        <f>B76</f>
        <v>19824769</v>
      </c>
      <c r="P76" s="1924"/>
      <c r="Q76" s="1925"/>
      <c r="R76" s="192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5"/>
      <c r="R84" s="1915"/>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5"/>
      <c r="R89" s="1915"/>
    </row>
    <row r="90" spans="2:18" ht="15" customHeight="1">
      <c r="B90" s="497" t="s">
        <v>615</v>
      </c>
      <c r="C90" s="498">
        <v>4</v>
      </c>
      <c r="D90" s="499">
        <v>951</v>
      </c>
      <c r="E90" s="499">
        <f>+'Subsidy Contract Calculation'!E5</f>
        <v>2097</v>
      </c>
      <c r="F90" s="540"/>
      <c r="G90" s="384">
        <f>MAX(($E90-$D90)*$C90*12,0)</f>
        <v>55008</v>
      </c>
      <c r="I90" s="519"/>
      <c r="K90" s="756" t="s">
        <v>1626</v>
      </c>
      <c r="L90" s="684"/>
      <c r="M90" s="684"/>
      <c r="N90" s="684"/>
      <c r="O90" s="684"/>
      <c r="P90" s="684"/>
      <c r="Q90" s="1918"/>
      <c r="R90" s="1918"/>
    </row>
    <row r="91" spans="2:18" ht="15" customHeight="1">
      <c r="B91" s="497" t="s">
        <v>2453</v>
      </c>
      <c r="C91" s="498">
        <v>10</v>
      </c>
      <c r="D91" s="499">
        <v>1018</v>
      </c>
      <c r="E91" s="499">
        <f>+'Subsidy Contract Calculation'!E6</f>
        <v>2243</v>
      </c>
      <c r="F91" s="540"/>
      <c r="G91" s="384">
        <f t="shared" ref="G91:G97" si="0">MAX(($E91-$D91)*$C91*12,0)</f>
        <v>147000</v>
      </c>
      <c r="I91" s="519"/>
      <c r="K91" s="756" t="s">
        <v>1629</v>
      </c>
      <c r="L91" s="684"/>
      <c r="M91" s="684"/>
      <c r="N91" s="684"/>
      <c r="O91" s="684"/>
      <c r="P91" s="684"/>
      <c r="Q91" s="1916">
        <f>IFERROR(Q89/Q90,0)</f>
        <v>0</v>
      </c>
      <c r="R91" s="1916"/>
    </row>
    <row r="92" spans="2:18" ht="15" customHeight="1">
      <c r="B92" s="497" t="s">
        <v>2454</v>
      </c>
      <c r="C92" s="498">
        <v>1</v>
      </c>
      <c r="D92" s="499">
        <v>1222</v>
      </c>
      <c r="E92" s="499">
        <f>+'Subsidy Contract Calculation'!E7</f>
        <v>3244</v>
      </c>
      <c r="F92" s="540"/>
      <c r="G92" s="384">
        <f t="shared" si="0"/>
        <v>24264</v>
      </c>
      <c r="I92" s="519"/>
    </row>
    <row r="93" spans="2:18" ht="15" customHeight="1">
      <c r="B93" s="497" t="s">
        <v>615</v>
      </c>
      <c r="C93" s="498"/>
      <c r="D93" s="499"/>
      <c r="E93" s="499"/>
      <c r="F93" s="540"/>
      <c r="G93" s="384">
        <f t="shared" si="0"/>
        <v>0</v>
      </c>
      <c r="I93" s="519"/>
      <c r="K93" s="376" t="s">
        <v>1630</v>
      </c>
      <c r="L93" s="528"/>
      <c r="M93" s="528"/>
      <c r="N93" s="528"/>
      <c r="O93" s="528"/>
      <c r="P93" s="528"/>
      <c r="Q93" s="1917">
        <f>MAX(Q84,Q91)</f>
        <v>0</v>
      </c>
      <c r="R93" s="1917"/>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226272</v>
      </c>
      <c r="I98" s="519"/>
    </row>
    <row r="99" spans="2:9" ht="15" customHeight="1">
      <c r="I99" s="519"/>
    </row>
    <row r="100" spans="2:9" ht="15" customHeight="1">
      <c r="B100" s="376" t="s">
        <v>1627</v>
      </c>
      <c r="D100" s="520">
        <f>G98+Q93</f>
        <v>226272</v>
      </c>
      <c r="I100" s="519"/>
    </row>
    <row r="101" spans="2:9" ht="15" customHeight="1">
      <c r="B101" s="376" t="s">
        <v>988</v>
      </c>
      <c r="D101" s="536">
        <v>0.05</v>
      </c>
      <c r="I101" s="519"/>
    </row>
    <row r="102" spans="2:9" ht="15" customHeight="1">
      <c r="B102" s="376" t="s">
        <v>1017</v>
      </c>
      <c r="D102" s="520">
        <f>D100-(D100*D101)</f>
        <v>214958.4</v>
      </c>
    </row>
    <row r="103" spans="2:9" ht="15" customHeight="1">
      <c r="B103" s="376" t="s">
        <v>1619</v>
      </c>
      <c r="D103" s="537"/>
    </row>
    <row r="104" spans="2:9" ht="15" customHeight="1">
      <c r="B104" s="376" t="s">
        <v>1628</v>
      </c>
      <c r="D104" s="520">
        <f>D102/D108</f>
        <v>186920.34782608697</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2105846.9542197706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2" sqref="E1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247020</v>
      </c>
      <c r="F4" s="384"/>
      <c r="G4" s="384">
        <f>E4*$C$4</f>
        <v>253195.49999999997</v>
      </c>
      <c r="H4" s="384"/>
      <c r="I4" s="384">
        <f>G4*$C$4</f>
        <v>259525.38749999995</v>
      </c>
      <c r="J4" s="384"/>
      <c r="K4" s="384">
        <f>I4*$C$4</f>
        <v>266013.52218749991</v>
      </c>
      <c r="L4" s="384"/>
      <c r="M4" s="384">
        <f>K4*$C$4</f>
        <v>272663.86024218739</v>
      </c>
      <c r="N4" s="384"/>
      <c r="O4" s="384">
        <f>M4*$C$4</f>
        <v>279480.45674824208</v>
      </c>
      <c r="P4" s="384"/>
      <c r="Q4" s="384">
        <f>O4*$C$4</f>
        <v>286467.46816694812</v>
      </c>
      <c r="R4" s="384"/>
      <c r="S4" s="384">
        <f>Q4*$C$4</f>
        <v>293629.15487112181</v>
      </c>
      <c r="T4" s="384"/>
      <c r="U4" s="384">
        <f>S4*$C$4</f>
        <v>300969.88374289981</v>
      </c>
      <c r="V4" s="384"/>
      <c r="W4" s="384">
        <f>U4*$C$4</f>
        <v>308494.13083647226</v>
      </c>
      <c r="X4" s="384"/>
      <c r="Y4" s="384">
        <f>W4*$C$4</f>
        <v>316206.48410738405</v>
      </c>
      <c r="Z4" s="384"/>
      <c r="AA4" s="384">
        <f>Y4*$C$4</f>
        <v>324111.6462100686</v>
      </c>
      <c r="AB4" s="384"/>
      <c r="AC4" s="384">
        <f>AA4*$C$4</f>
        <v>332214.43736532028</v>
      </c>
      <c r="AD4" s="384"/>
      <c r="AE4" s="384">
        <f>AC4*$C$4</f>
        <v>340519.79829945328</v>
      </c>
      <c r="AF4" s="384"/>
      <c r="AG4" s="384">
        <f>AE4*$C$4</f>
        <v>349032.79325693956</v>
      </c>
      <c r="AH4" s="384"/>
    </row>
    <row r="5" spans="1:34" ht="13.8">
      <c r="A5" s="376"/>
      <c r="B5" s="376" t="s">
        <v>988</v>
      </c>
      <c r="C5" s="408">
        <f>IF(Application!$D$214="Special Needs",0.1,0.05)</f>
        <v>0.1</v>
      </c>
      <c r="D5" s="376"/>
      <c r="E5" s="386">
        <f>-E4*$C$5</f>
        <v>-24702</v>
      </c>
      <c r="F5" s="386"/>
      <c r="G5" s="386">
        <f>-G4*$C$5</f>
        <v>-25319.55</v>
      </c>
      <c r="H5" s="386"/>
      <c r="I5" s="386">
        <f>-I4*$C$5</f>
        <v>-25952.538749999996</v>
      </c>
      <c r="J5" s="386"/>
      <c r="K5" s="386">
        <f>-K4*$C$5</f>
        <v>-26601.352218749991</v>
      </c>
      <c r="L5" s="386"/>
      <c r="M5" s="386">
        <f>-M4*$C$5</f>
        <v>-27266.38602421874</v>
      </c>
      <c r="N5" s="386"/>
      <c r="O5" s="386">
        <f>-O4*$C$5</f>
        <v>-27948.04567482421</v>
      </c>
      <c r="P5" s="386"/>
      <c r="Q5" s="386">
        <f>-Q4*$C$5</f>
        <v>-28646.746816694813</v>
      </c>
      <c r="R5" s="386"/>
      <c r="S5" s="386">
        <f>-S4*$C$5</f>
        <v>-29362.915487112183</v>
      </c>
      <c r="T5" s="386"/>
      <c r="U5" s="386">
        <f>-U4*$C$5</f>
        <v>-30096.988374289984</v>
      </c>
      <c r="V5" s="386"/>
      <c r="W5" s="386">
        <f>-W4*$C$5</f>
        <v>-30849.413083647229</v>
      </c>
      <c r="X5" s="386"/>
      <c r="Y5" s="386">
        <f>-Y4*$C$5</f>
        <v>-31620.648410738406</v>
      </c>
      <c r="Z5" s="386"/>
      <c r="AA5" s="386">
        <f>-AA4*$C$5</f>
        <v>-32411.164621006861</v>
      </c>
      <c r="AB5" s="386"/>
      <c r="AC5" s="386">
        <f>-AC4*$C$5</f>
        <v>-33221.443736532026</v>
      </c>
      <c r="AD5" s="386"/>
      <c r="AE5" s="386">
        <f>-AE4*$C$5</f>
        <v>-34051.979829945332</v>
      </c>
      <c r="AF5" s="386"/>
      <c r="AG5" s="386">
        <f>-AG4*$C$5</f>
        <v>-34903.279325693955</v>
      </c>
      <c r="AH5" s="376"/>
    </row>
    <row r="6" spans="1:34" ht="13.8">
      <c r="A6" s="376" t="s">
        <v>1074</v>
      </c>
      <c r="B6" s="376"/>
      <c r="C6" s="407">
        <v>1.0249999999999999</v>
      </c>
      <c r="D6" s="376"/>
      <c r="E6" s="387">
        <f>Application!Z788</f>
        <v>226272</v>
      </c>
      <c r="F6" s="387"/>
      <c r="G6" s="387">
        <f>E6*$C$6</f>
        <v>231928.8</v>
      </c>
      <c r="H6" s="387"/>
      <c r="I6" s="387">
        <f>G6*$C$6</f>
        <v>237727.01999999996</v>
      </c>
      <c r="J6" s="387"/>
      <c r="K6" s="387">
        <f>I6*$C$6</f>
        <v>243670.19549999994</v>
      </c>
      <c r="L6" s="387"/>
      <c r="M6" s="387">
        <f>K6*$C$6</f>
        <v>249761.95038749991</v>
      </c>
      <c r="N6" s="387"/>
      <c r="O6" s="387">
        <f>M6*$C$6</f>
        <v>256005.99914718739</v>
      </c>
      <c r="P6" s="387"/>
      <c r="Q6" s="387">
        <f>O6*$C$6</f>
        <v>262406.14912586706</v>
      </c>
      <c r="R6" s="387"/>
      <c r="S6" s="387">
        <f>Q6*$C$6</f>
        <v>268966.30285401369</v>
      </c>
      <c r="T6" s="387"/>
      <c r="U6" s="387">
        <f>S6*$C$6</f>
        <v>275690.46042536403</v>
      </c>
      <c r="V6" s="387"/>
      <c r="W6" s="387">
        <f>U6*$C$6</f>
        <v>282582.72193599812</v>
      </c>
      <c r="X6" s="387"/>
      <c r="Y6" s="387">
        <f>W6*$C$6</f>
        <v>289647.28998439806</v>
      </c>
      <c r="Z6" s="387"/>
      <c r="AA6" s="387">
        <f>Y6*$C$6</f>
        <v>296888.47223400796</v>
      </c>
      <c r="AB6" s="387"/>
      <c r="AC6" s="387">
        <f>AA6*$C$6</f>
        <v>304310.68403985811</v>
      </c>
      <c r="AD6" s="387"/>
      <c r="AE6" s="387">
        <f>AC6*$C$6</f>
        <v>311918.45114085457</v>
      </c>
      <c r="AF6" s="387"/>
      <c r="AG6" s="387">
        <f>AE6*$C$6</f>
        <v>319716.41241937591</v>
      </c>
      <c r="AH6" s="376"/>
    </row>
    <row r="7" spans="1:34" ht="13.8">
      <c r="A7" s="376"/>
      <c r="B7" s="376" t="s">
        <v>988</v>
      </c>
      <c r="C7" s="408">
        <f>IF(Application!$D$214="Special Needs",0.1,0.05)</f>
        <v>0.1</v>
      </c>
      <c r="D7" s="376"/>
      <c r="E7" s="386">
        <f>-E6*$C$7</f>
        <v>-22627.200000000001</v>
      </c>
      <c r="F7" s="386"/>
      <c r="G7" s="386">
        <f>-G6*$C$7</f>
        <v>-23192.880000000001</v>
      </c>
      <c r="H7" s="386"/>
      <c r="I7" s="386">
        <f>-I6*$C$7</f>
        <v>-23772.701999999997</v>
      </c>
      <c r="J7" s="386"/>
      <c r="K7" s="386">
        <f>-K6*$C$7</f>
        <v>-24367.019549999997</v>
      </c>
      <c r="L7" s="386"/>
      <c r="M7" s="386">
        <f>-M6*$C$7</f>
        <v>-24976.195038749993</v>
      </c>
      <c r="N7" s="386"/>
      <c r="O7" s="386">
        <f>-O6*$C$7</f>
        <v>-25600.599914718739</v>
      </c>
      <c r="P7" s="386"/>
      <c r="Q7" s="386">
        <f>-Q6*$C$7</f>
        <v>-26240.614912586709</v>
      </c>
      <c r="R7" s="386"/>
      <c r="S7" s="386">
        <f>-S6*$C$7</f>
        <v>-26896.63028540137</v>
      </c>
      <c r="T7" s="386"/>
      <c r="U7" s="386">
        <f>-U6*$C$7</f>
        <v>-27569.046042536404</v>
      </c>
      <c r="V7" s="386"/>
      <c r="W7" s="386">
        <f>-W6*$C$7</f>
        <v>-28258.272193599812</v>
      </c>
      <c r="X7" s="386"/>
      <c r="Y7" s="386">
        <f>-Y6*$C$7</f>
        <v>-28964.728998439808</v>
      </c>
      <c r="Z7" s="386"/>
      <c r="AA7" s="386">
        <f>-AA6*$C$7</f>
        <v>-29688.847223400797</v>
      </c>
      <c r="AB7" s="386"/>
      <c r="AC7" s="386">
        <f>-AC6*$C$7</f>
        <v>-30431.068403985813</v>
      </c>
      <c r="AD7" s="386"/>
      <c r="AE7" s="386">
        <f>-AE6*$C$7</f>
        <v>-31191.845114085459</v>
      </c>
      <c r="AF7" s="386"/>
      <c r="AG7" s="386">
        <f>-AG6*$C$7</f>
        <v>-31971.641241937592</v>
      </c>
      <c r="AH7" s="376"/>
    </row>
    <row r="8" spans="1:34" ht="13.8">
      <c r="A8" s="376" t="s">
        <v>261</v>
      </c>
      <c r="B8" s="376"/>
      <c r="C8" s="407">
        <v>1.0249999999999999</v>
      </c>
      <c r="D8" s="376"/>
      <c r="E8" s="387">
        <f>Application!Z796</f>
        <v>5040</v>
      </c>
      <c r="F8" s="387"/>
      <c r="G8" s="387">
        <f>E8*$C$8</f>
        <v>5166</v>
      </c>
      <c r="H8" s="387"/>
      <c r="I8" s="387">
        <f>G8*$C$8</f>
        <v>5295.15</v>
      </c>
      <c r="J8" s="387"/>
      <c r="K8" s="387">
        <f>I8*$C$8</f>
        <v>5427.5287499999995</v>
      </c>
      <c r="L8" s="387"/>
      <c r="M8" s="387">
        <f>K8*$C$8</f>
        <v>5563.2169687499991</v>
      </c>
      <c r="N8" s="387"/>
      <c r="O8" s="387">
        <f>M8*$C$8</f>
        <v>5702.2973929687487</v>
      </c>
      <c r="P8" s="387"/>
      <c r="Q8" s="387">
        <f>O8*$C$8</f>
        <v>5844.8548277929667</v>
      </c>
      <c r="R8" s="387"/>
      <c r="S8" s="387">
        <f>Q8*$C$8</f>
        <v>5990.9761984877905</v>
      </c>
      <c r="T8" s="387"/>
      <c r="U8" s="387">
        <f>S8*$C$8</f>
        <v>6140.7506034499847</v>
      </c>
      <c r="V8" s="387"/>
      <c r="W8" s="387">
        <f>U8*$C$8</f>
        <v>6294.2693685362337</v>
      </c>
      <c r="X8" s="387"/>
      <c r="Y8" s="387">
        <f>W8*$C$8</f>
        <v>6451.6261027496394</v>
      </c>
      <c r="Z8" s="387"/>
      <c r="AA8" s="387">
        <f>Y8*$C$8</f>
        <v>6612.9167553183797</v>
      </c>
      <c r="AB8" s="387"/>
      <c r="AC8" s="387">
        <f>AA8*$C$8</f>
        <v>6778.2396742013389</v>
      </c>
      <c r="AD8" s="387"/>
      <c r="AE8" s="387">
        <f>AC8*$C$8</f>
        <v>6947.6956660563719</v>
      </c>
      <c r="AF8" s="387"/>
      <c r="AG8" s="387">
        <f>AE8*$C$8</f>
        <v>7121.3880577077807</v>
      </c>
      <c r="AH8" s="376"/>
    </row>
    <row r="9" spans="1:34" ht="13.8">
      <c r="A9" s="376"/>
      <c r="B9" s="376" t="s">
        <v>988</v>
      </c>
      <c r="C9" s="408">
        <f>IF(Application!$D$214="Special Needs",0.1,0.05)</f>
        <v>0.1</v>
      </c>
      <c r="D9" s="376"/>
      <c r="E9" s="386">
        <f>-E8*$C$9</f>
        <v>-504</v>
      </c>
      <c r="F9" s="386"/>
      <c r="G9" s="386">
        <f>-G8*$C$9</f>
        <v>-516.6</v>
      </c>
      <c r="H9" s="386"/>
      <c r="I9" s="386">
        <f>-I8*$C$9</f>
        <v>-529.51499999999999</v>
      </c>
      <c r="J9" s="386"/>
      <c r="K9" s="386">
        <f>-K8*$C$9</f>
        <v>-542.75287500000002</v>
      </c>
      <c r="L9" s="386"/>
      <c r="M9" s="386">
        <f>-M8*$C$9</f>
        <v>-556.32169687499993</v>
      </c>
      <c r="N9" s="386"/>
      <c r="O9" s="386">
        <f>-O8*$C$9</f>
        <v>-570.22973929687487</v>
      </c>
      <c r="P9" s="386"/>
      <c r="Q9" s="386">
        <f>-Q8*$C$9</f>
        <v>-584.48548277929672</v>
      </c>
      <c r="R9" s="386"/>
      <c r="S9" s="386">
        <f>-S8*$C$9</f>
        <v>-599.09761984877912</v>
      </c>
      <c r="T9" s="386"/>
      <c r="U9" s="386">
        <f>-U8*$C$9</f>
        <v>-614.07506034499852</v>
      </c>
      <c r="V9" s="386"/>
      <c r="W9" s="386">
        <f>-W8*$C$9</f>
        <v>-629.42693685362337</v>
      </c>
      <c r="X9" s="386"/>
      <c r="Y9" s="386">
        <f>-Y8*$C$9</f>
        <v>-645.16261027496398</v>
      </c>
      <c r="Z9" s="386"/>
      <c r="AA9" s="386">
        <f>-AA8*$C$9</f>
        <v>-661.291675531838</v>
      </c>
      <c r="AB9" s="386"/>
      <c r="AC9" s="386">
        <f>-AC8*$C$9</f>
        <v>-677.82396742013395</v>
      </c>
      <c r="AD9" s="386"/>
      <c r="AE9" s="386">
        <f>-AE8*$C$9</f>
        <v>-694.76956660563724</v>
      </c>
      <c r="AF9" s="386"/>
      <c r="AG9" s="386">
        <f>-AG8*$C$9</f>
        <v>-712.13880577077816</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430498.8</v>
      </c>
      <c r="F11" s="388"/>
      <c r="G11" s="388">
        <f>SUM(G4:G10)</f>
        <v>441261.27</v>
      </c>
      <c r="H11" s="388"/>
      <c r="I11" s="388">
        <f>SUM(I4:I10)</f>
        <v>452292.80174999993</v>
      </c>
      <c r="J11" s="388"/>
      <c r="K11" s="388">
        <f>SUM(K4:K10)</f>
        <v>463600.12179374992</v>
      </c>
      <c r="L11" s="388"/>
      <c r="M11" s="388">
        <f>SUM(M4:M10)</f>
        <v>475190.12483859353</v>
      </c>
      <c r="N11" s="388"/>
      <c r="O11" s="388">
        <f>SUM(O4:O10)</f>
        <v>487069.87795955839</v>
      </c>
      <c r="P11" s="388"/>
      <c r="Q11" s="388">
        <f>SUM(Q4:Q10)</f>
        <v>499246.62490854738</v>
      </c>
      <c r="R11" s="388"/>
      <c r="S11" s="388">
        <f>SUM(S4:S10)</f>
        <v>511727.79053126101</v>
      </c>
      <c r="T11" s="388"/>
      <c r="U11" s="388">
        <f>SUM(U4:U10)</f>
        <v>524520.98529454251</v>
      </c>
      <c r="V11" s="388"/>
      <c r="W11" s="388">
        <f>SUM(W4:W10)</f>
        <v>537634.00992690586</v>
      </c>
      <c r="X11" s="388"/>
      <c r="Y11" s="388">
        <f>SUM(Y4:Y10)</f>
        <v>551074.8601750785</v>
      </c>
      <c r="Z11" s="388"/>
      <c r="AA11" s="388">
        <f>SUM(AA4:AA10)</f>
        <v>564851.73167945538</v>
      </c>
      <c r="AB11" s="388"/>
      <c r="AC11" s="388">
        <f>SUM(AC4:AC10)</f>
        <v>578973.02497144183</v>
      </c>
      <c r="AD11" s="388"/>
      <c r="AE11" s="388">
        <f>SUM(AE4:AE10)</f>
        <v>593447.3505957278</v>
      </c>
      <c r="AF11" s="388"/>
      <c r="AG11" s="388">
        <f>SUM(AG4:AG10)</f>
        <v>608283.53436062089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4984</v>
      </c>
      <c r="F15" s="384"/>
      <c r="G15" s="384">
        <f t="shared" ref="G15:G21" si="0">E15*$C$14</f>
        <v>5158.4399999999996</v>
      </c>
      <c r="H15" s="384"/>
      <c r="I15" s="384">
        <f t="shared" ref="I15:I21" si="1">G15*$C$14</f>
        <v>5338.9853999999996</v>
      </c>
      <c r="J15" s="384"/>
      <c r="K15" s="384">
        <f t="shared" ref="K15:K21" si="2">I15*$C$14</f>
        <v>5525.8498889999992</v>
      </c>
      <c r="L15" s="384"/>
      <c r="M15" s="384">
        <f t="shared" ref="M15:M21" si="3">K15*$C$14</f>
        <v>5719.2546351149986</v>
      </c>
      <c r="N15" s="384"/>
      <c r="O15" s="384">
        <f t="shared" ref="O15:O21" si="4">M15*$C$14</f>
        <v>5919.4285473440232</v>
      </c>
      <c r="P15" s="384"/>
      <c r="Q15" s="384">
        <f t="shared" ref="Q15:Q21" si="5">O15*$C$14</f>
        <v>6126.6085465010638</v>
      </c>
      <c r="R15" s="384"/>
      <c r="S15" s="384">
        <f t="shared" ref="S15:S21" si="6">Q15*$C$14</f>
        <v>6341.0398456286002</v>
      </c>
      <c r="T15" s="384"/>
      <c r="U15" s="384">
        <f t="shared" ref="U15:U21" si="7">S15*$C$14</f>
        <v>6562.976240225601</v>
      </c>
      <c r="V15" s="384"/>
      <c r="W15" s="384">
        <f t="shared" ref="W15:W21" si="8">U15*$C$14</f>
        <v>6792.6804086334969</v>
      </c>
      <c r="X15" s="384"/>
      <c r="Y15" s="384">
        <f t="shared" ref="Y15:Y21" si="9">W15*$C$14</f>
        <v>7030.4242229356687</v>
      </c>
      <c r="Z15" s="384"/>
      <c r="AA15" s="384">
        <f t="shared" ref="AA15:AA21" si="10">Y15*$C$14</f>
        <v>7276.4890707384166</v>
      </c>
      <c r="AB15" s="384"/>
      <c r="AC15" s="384">
        <f t="shared" ref="AC15:AC21" si="11">AA15*$C$14</f>
        <v>7531.1661882142607</v>
      </c>
      <c r="AD15" s="384"/>
      <c r="AE15" s="384">
        <f t="shared" ref="AE15:AE21" si="12">AC15*$C$14</f>
        <v>7794.7570048017596</v>
      </c>
      <c r="AF15" s="384"/>
      <c r="AG15" s="384">
        <f t="shared" ref="AG15:AG21" si="13">AE15*$C$14</f>
        <v>8067.5734999698207</v>
      </c>
      <c r="AH15" s="384"/>
    </row>
    <row r="16" spans="1:34" ht="13.8">
      <c r="A16" s="376" t="s">
        <v>468</v>
      </c>
      <c r="B16" s="376"/>
      <c r="C16" s="398"/>
      <c r="D16" s="376"/>
      <c r="E16" s="387">
        <f>Application!W828</f>
        <v>25830</v>
      </c>
      <c r="F16" s="387"/>
      <c r="G16" s="387">
        <f t="shared" si="0"/>
        <v>26734.05</v>
      </c>
      <c r="H16" s="387"/>
      <c r="I16" s="387">
        <f t="shared" si="1"/>
        <v>27669.741749999997</v>
      </c>
      <c r="J16" s="387"/>
      <c r="K16" s="387">
        <f t="shared" si="2"/>
        <v>28638.182711249996</v>
      </c>
      <c r="L16" s="387"/>
      <c r="M16" s="387">
        <f t="shared" si="3"/>
        <v>29640.519106143744</v>
      </c>
      <c r="N16" s="387"/>
      <c r="O16" s="387">
        <f t="shared" si="4"/>
        <v>30677.937274858774</v>
      </c>
      <c r="P16" s="387"/>
      <c r="Q16" s="387">
        <f t="shared" si="5"/>
        <v>31751.665079478829</v>
      </c>
      <c r="R16" s="387"/>
      <c r="S16" s="387">
        <f t="shared" si="6"/>
        <v>32862.973357260584</v>
      </c>
      <c r="T16" s="387"/>
      <c r="U16" s="387">
        <f t="shared" si="7"/>
        <v>34013.177424764704</v>
      </c>
      <c r="V16" s="387"/>
      <c r="W16" s="387">
        <f t="shared" si="8"/>
        <v>35203.638634631468</v>
      </c>
      <c r="X16" s="387"/>
      <c r="Y16" s="387">
        <f t="shared" si="9"/>
        <v>36435.765986843566</v>
      </c>
      <c r="Z16" s="387"/>
      <c r="AA16" s="387">
        <f t="shared" si="10"/>
        <v>37711.017796383087</v>
      </c>
      <c r="AB16" s="387"/>
      <c r="AC16" s="387">
        <f t="shared" si="11"/>
        <v>39030.903419256494</v>
      </c>
      <c r="AD16" s="387"/>
      <c r="AE16" s="387">
        <f t="shared" si="12"/>
        <v>40396.98503893047</v>
      </c>
      <c r="AF16" s="387"/>
      <c r="AG16" s="387">
        <f t="shared" si="13"/>
        <v>41810.879515293032</v>
      </c>
      <c r="AH16" s="376"/>
    </row>
    <row r="17" spans="1:34" ht="13.8">
      <c r="A17" s="376" t="s">
        <v>734</v>
      </c>
      <c r="B17" s="376"/>
      <c r="C17" s="398"/>
      <c r="D17" s="376"/>
      <c r="E17" s="387">
        <f>Application!W834</f>
        <v>44615</v>
      </c>
      <c r="F17" s="387"/>
      <c r="G17" s="387">
        <f t="shared" si="0"/>
        <v>46176.524999999994</v>
      </c>
      <c r="H17" s="387"/>
      <c r="I17" s="387">
        <f t="shared" si="1"/>
        <v>47792.70337499999</v>
      </c>
      <c r="J17" s="387"/>
      <c r="K17" s="387">
        <f t="shared" si="2"/>
        <v>49465.447993124988</v>
      </c>
      <c r="L17" s="387"/>
      <c r="M17" s="387">
        <f t="shared" si="3"/>
        <v>51196.738672884356</v>
      </c>
      <c r="N17" s="387"/>
      <c r="O17" s="387">
        <f t="shared" si="4"/>
        <v>52988.624526435306</v>
      </c>
      <c r="P17" s="387"/>
      <c r="Q17" s="387">
        <f t="shared" si="5"/>
        <v>54843.226384860536</v>
      </c>
      <c r="R17" s="387"/>
      <c r="S17" s="387">
        <f t="shared" si="6"/>
        <v>56762.739308330652</v>
      </c>
      <c r="T17" s="387"/>
      <c r="U17" s="387">
        <f t="shared" si="7"/>
        <v>58749.435184122223</v>
      </c>
      <c r="V17" s="387"/>
      <c r="W17" s="387">
        <f t="shared" si="8"/>
        <v>60805.665415566495</v>
      </c>
      <c r="X17" s="387"/>
      <c r="Y17" s="387">
        <f t="shared" si="9"/>
        <v>62933.863705111318</v>
      </c>
      <c r="Z17" s="387"/>
      <c r="AA17" s="387">
        <f t="shared" si="10"/>
        <v>65136.548934790211</v>
      </c>
      <c r="AB17" s="387"/>
      <c r="AC17" s="387">
        <f t="shared" si="11"/>
        <v>67416.328147507869</v>
      </c>
      <c r="AD17" s="387"/>
      <c r="AE17" s="387">
        <f t="shared" si="12"/>
        <v>69775.89963267064</v>
      </c>
      <c r="AF17" s="387"/>
      <c r="AG17" s="387">
        <f t="shared" si="13"/>
        <v>72218.056119814108</v>
      </c>
      <c r="AH17" s="376"/>
    </row>
    <row r="18" spans="1:34" ht="13.8">
      <c r="A18" s="376" t="s">
        <v>1079</v>
      </c>
      <c r="B18" s="376"/>
      <c r="C18" s="398"/>
      <c r="D18" s="376"/>
      <c r="E18" s="387">
        <f>Application!W841</f>
        <v>17197</v>
      </c>
      <c r="F18" s="387"/>
      <c r="G18" s="387">
        <f t="shared" si="0"/>
        <v>17798.895</v>
      </c>
      <c r="H18" s="387"/>
      <c r="I18" s="387">
        <f t="shared" si="1"/>
        <v>18421.856325000001</v>
      </c>
      <c r="J18" s="387"/>
      <c r="K18" s="387">
        <f t="shared" si="2"/>
        <v>19066.621296375</v>
      </c>
      <c r="L18" s="387"/>
      <c r="M18" s="387">
        <f t="shared" si="3"/>
        <v>19733.953041748126</v>
      </c>
      <c r="N18" s="387"/>
      <c r="O18" s="387">
        <f t="shared" si="4"/>
        <v>20424.641398209307</v>
      </c>
      <c r="P18" s="387"/>
      <c r="Q18" s="387">
        <f t="shared" si="5"/>
        <v>21139.503847146632</v>
      </c>
      <c r="R18" s="387"/>
      <c r="S18" s="387">
        <f t="shared" si="6"/>
        <v>21879.386481796762</v>
      </c>
      <c r="T18" s="387"/>
      <c r="U18" s="387">
        <f t="shared" si="7"/>
        <v>22645.165008659646</v>
      </c>
      <c r="V18" s="387"/>
      <c r="W18" s="387">
        <f t="shared" si="8"/>
        <v>23437.745783962731</v>
      </c>
      <c r="X18" s="387"/>
      <c r="Y18" s="387">
        <f t="shared" si="9"/>
        <v>24258.066886401426</v>
      </c>
      <c r="Z18" s="387"/>
      <c r="AA18" s="387">
        <f t="shared" si="10"/>
        <v>25107.099227425475</v>
      </c>
      <c r="AB18" s="387"/>
      <c r="AC18" s="387">
        <f t="shared" si="11"/>
        <v>25985.847700385366</v>
      </c>
      <c r="AD18" s="387"/>
      <c r="AE18" s="387">
        <f t="shared" si="12"/>
        <v>26895.35236989885</v>
      </c>
      <c r="AF18" s="387"/>
      <c r="AG18" s="387">
        <f t="shared" si="13"/>
        <v>27836.68970284531</v>
      </c>
    </row>
    <row r="19" spans="1:34" ht="13.8">
      <c r="A19" s="376" t="s">
        <v>931</v>
      </c>
      <c r="B19" s="376"/>
      <c r="C19" s="398"/>
      <c r="D19" s="376"/>
      <c r="E19" s="387">
        <f>Application!W842</f>
        <v>4996</v>
      </c>
      <c r="F19" s="387"/>
      <c r="G19" s="387">
        <f t="shared" si="0"/>
        <v>5170.8599999999997</v>
      </c>
      <c r="H19" s="387"/>
      <c r="I19" s="387">
        <f t="shared" si="1"/>
        <v>5351.8400999999994</v>
      </c>
      <c r="J19" s="387"/>
      <c r="K19" s="387">
        <f t="shared" si="2"/>
        <v>5539.154503499999</v>
      </c>
      <c r="L19" s="387"/>
      <c r="M19" s="387">
        <f t="shared" si="3"/>
        <v>5733.0249111224985</v>
      </c>
      <c r="N19" s="387"/>
      <c r="O19" s="387">
        <f t="shared" si="4"/>
        <v>5933.680783011785</v>
      </c>
      <c r="P19" s="387"/>
      <c r="Q19" s="387">
        <f t="shared" si="5"/>
        <v>6141.3596104171975</v>
      </c>
      <c r="R19" s="387"/>
      <c r="S19" s="387">
        <f t="shared" si="6"/>
        <v>6356.3071967817987</v>
      </c>
      <c r="T19" s="387"/>
      <c r="U19" s="387">
        <f t="shared" si="7"/>
        <v>6578.7779486691616</v>
      </c>
      <c r="V19" s="387"/>
      <c r="W19" s="387">
        <f t="shared" si="8"/>
        <v>6809.0351768725814</v>
      </c>
      <c r="X19" s="387"/>
      <c r="Y19" s="387">
        <f t="shared" si="9"/>
        <v>7047.3514080631212</v>
      </c>
      <c r="Z19" s="387"/>
      <c r="AA19" s="387">
        <f t="shared" si="10"/>
        <v>7294.0087073453296</v>
      </c>
      <c r="AB19" s="387"/>
      <c r="AC19" s="387">
        <f t="shared" si="11"/>
        <v>7549.2990121024159</v>
      </c>
      <c r="AD19" s="387"/>
      <c r="AE19" s="387">
        <f t="shared" si="12"/>
        <v>7813.5244775259998</v>
      </c>
      <c r="AF19" s="387"/>
      <c r="AG19" s="387">
        <f t="shared" si="13"/>
        <v>8086.9978342394088</v>
      </c>
    </row>
    <row r="20" spans="1:34" ht="13.8">
      <c r="A20" s="376" t="s">
        <v>55</v>
      </c>
      <c r="B20" s="376"/>
      <c r="C20" s="398"/>
      <c r="D20" s="376"/>
      <c r="E20" s="387">
        <f>Application!W851</f>
        <v>23653</v>
      </c>
      <c r="F20" s="387"/>
      <c r="G20" s="387">
        <f t="shared" si="0"/>
        <v>24480.855</v>
      </c>
      <c r="H20" s="387"/>
      <c r="I20" s="387">
        <f t="shared" si="1"/>
        <v>25337.684924999998</v>
      </c>
      <c r="J20" s="387"/>
      <c r="K20" s="387">
        <f t="shared" si="2"/>
        <v>26224.503897374994</v>
      </c>
      <c r="L20" s="387"/>
      <c r="M20" s="387">
        <f t="shared" si="3"/>
        <v>27142.361533783118</v>
      </c>
      <c r="N20" s="387"/>
      <c r="O20" s="387">
        <f t="shared" si="4"/>
        <v>28092.344187465525</v>
      </c>
      <c r="P20" s="387"/>
      <c r="Q20" s="387">
        <f t="shared" si="5"/>
        <v>29075.576234026816</v>
      </c>
      <c r="R20" s="387"/>
      <c r="S20" s="387">
        <f t="shared" si="6"/>
        <v>30093.22140221775</v>
      </c>
      <c r="T20" s="387"/>
      <c r="U20" s="387">
        <f t="shared" si="7"/>
        <v>31146.484151295368</v>
      </c>
      <c r="V20" s="387"/>
      <c r="W20" s="387">
        <f t="shared" si="8"/>
        <v>32236.611096590703</v>
      </c>
      <c r="X20" s="387"/>
      <c r="Y20" s="387">
        <f t="shared" si="9"/>
        <v>33364.892484971373</v>
      </c>
      <c r="Z20" s="387"/>
      <c r="AA20" s="387">
        <f t="shared" si="10"/>
        <v>34532.66372194537</v>
      </c>
      <c r="AB20" s="387"/>
      <c r="AC20" s="387">
        <f t="shared" si="11"/>
        <v>35741.306952213454</v>
      </c>
      <c r="AD20" s="387"/>
      <c r="AE20" s="387">
        <f t="shared" si="12"/>
        <v>36992.252695540919</v>
      </c>
      <c r="AF20" s="387"/>
      <c r="AG20" s="387">
        <f t="shared" si="13"/>
        <v>38286.981539884851</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121275</v>
      </c>
      <c r="F22" s="388"/>
      <c r="G22" s="388">
        <f>SUM(G15:G21)</f>
        <v>125519.62499999999</v>
      </c>
      <c r="H22" s="388"/>
      <c r="I22" s="388">
        <f>SUM(I15:I21)</f>
        <v>129912.81187499998</v>
      </c>
      <c r="J22" s="388"/>
      <c r="K22" s="388">
        <f>SUM(K15:K21)</f>
        <v>134459.76029062498</v>
      </c>
      <c r="L22" s="388"/>
      <c r="M22" s="388">
        <f>SUM(M15:M21)</f>
        <v>139165.85190079684</v>
      </c>
      <c r="N22" s="388"/>
      <c r="O22" s="388">
        <f>SUM(O15:O21)</f>
        <v>144036.65671732472</v>
      </c>
      <c r="P22" s="388"/>
      <c r="Q22" s="388">
        <f>SUM(Q15:Q21)</f>
        <v>149077.93970243109</v>
      </c>
      <c r="R22" s="388"/>
      <c r="S22" s="388">
        <f>SUM(S15:S21)</f>
        <v>154295.66759201614</v>
      </c>
      <c r="T22" s="388"/>
      <c r="U22" s="388">
        <f>SUM(U15:U21)</f>
        <v>159696.0159577367</v>
      </c>
      <c r="V22" s="388"/>
      <c r="W22" s="388">
        <f>SUM(W15:W21)</f>
        <v>165285.37651625747</v>
      </c>
      <c r="X22" s="388"/>
      <c r="Y22" s="388">
        <f>SUM(Y15:Y21)</f>
        <v>171070.36469432648</v>
      </c>
      <c r="Z22" s="388"/>
      <c r="AA22" s="388">
        <f>SUM(AA15:AA21)</f>
        <v>177057.82745862787</v>
      </c>
      <c r="AB22" s="388"/>
      <c r="AC22" s="388">
        <f>SUM(AC15:AC21)</f>
        <v>183254.85141967988</v>
      </c>
      <c r="AD22" s="388"/>
      <c r="AE22" s="388">
        <f>SUM(AE15:AE21)</f>
        <v>189668.77121936865</v>
      </c>
      <c r="AF22" s="388"/>
      <c r="AG22" s="388">
        <f>SUM(AG15:AG21)</f>
        <v>196307.17821204651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74991</v>
      </c>
      <c r="F27" s="387"/>
      <c r="G27" s="387">
        <f>E27*$C$27</f>
        <v>77615.684999999998</v>
      </c>
      <c r="H27" s="387"/>
      <c r="I27" s="387">
        <f>G27*$C$27</f>
        <v>80332.233974999996</v>
      </c>
      <c r="J27" s="387"/>
      <c r="K27" s="387">
        <f>I27*$C$27</f>
        <v>83143.862164124992</v>
      </c>
      <c r="L27" s="387"/>
      <c r="M27" s="387">
        <f>K27*$C$27</f>
        <v>86053.897339869363</v>
      </c>
      <c r="N27" s="387"/>
      <c r="O27" s="387">
        <f>M27*$C$27</f>
        <v>89065.783746764791</v>
      </c>
      <c r="P27" s="387"/>
      <c r="Q27" s="387">
        <f>O27*$C$27</f>
        <v>92183.086177901554</v>
      </c>
      <c r="R27" s="387"/>
      <c r="S27" s="387">
        <f>Q27*$C$27</f>
        <v>95409.494194128099</v>
      </c>
      <c r="T27" s="387"/>
      <c r="U27" s="387">
        <f>S27*$C$27</f>
        <v>98748.826490922569</v>
      </c>
      <c r="V27" s="387"/>
      <c r="W27" s="387">
        <f>U27*$C$27</f>
        <v>102205.03541810485</v>
      </c>
      <c r="X27" s="387"/>
      <c r="Y27" s="387">
        <f>W27*$C$27</f>
        <v>105782.2116577385</v>
      </c>
      <c r="Z27" s="387"/>
      <c r="AA27" s="387">
        <f>Y27*$C$27</f>
        <v>109484.58906575934</v>
      </c>
      <c r="AB27" s="387"/>
      <c r="AC27" s="387">
        <f>AA27*$C$27</f>
        <v>113316.5496830609</v>
      </c>
      <c r="AD27" s="387"/>
      <c r="AE27" s="387">
        <f>AC27*$C$27</f>
        <v>117282.62892196803</v>
      </c>
      <c r="AF27" s="387"/>
      <c r="AG27" s="387">
        <f>AE27*$C$27</f>
        <v>121387.52093423691</v>
      </c>
    </row>
    <row r="28" spans="1:34" ht="13.8">
      <c r="A28" s="599" t="s">
        <v>1082</v>
      </c>
      <c r="B28" s="376"/>
      <c r="C28" s="407"/>
      <c r="D28" s="376"/>
      <c r="E28" s="387">
        <f>Application!AC868</f>
        <v>5250</v>
      </c>
      <c r="F28" s="387"/>
      <c r="G28" s="387">
        <f>$E$28</f>
        <v>5250</v>
      </c>
      <c r="H28" s="387"/>
      <c r="I28" s="387">
        <f>$E$28</f>
        <v>5250</v>
      </c>
      <c r="J28" s="387"/>
      <c r="K28" s="387">
        <f>$E$28</f>
        <v>5250</v>
      </c>
      <c r="L28" s="387"/>
      <c r="M28" s="387">
        <f>$E$28</f>
        <v>5250</v>
      </c>
      <c r="N28" s="387"/>
      <c r="O28" s="387">
        <f>$E$28</f>
        <v>5250</v>
      </c>
      <c r="P28" s="387"/>
      <c r="Q28" s="387">
        <f>$E$28</f>
        <v>5250</v>
      </c>
      <c r="R28" s="387"/>
      <c r="S28" s="387">
        <f>$E$28</f>
        <v>5250</v>
      </c>
      <c r="T28" s="387"/>
      <c r="U28" s="387">
        <f>$E$28</f>
        <v>5250</v>
      </c>
      <c r="V28" s="387"/>
      <c r="W28" s="387">
        <f>$E$28</f>
        <v>5250</v>
      </c>
      <c r="X28" s="387"/>
      <c r="Y28" s="387">
        <f>$E$28</f>
        <v>5250</v>
      </c>
      <c r="Z28" s="387"/>
      <c r="AA28" s="387">
        <f>$E$28</f>
        <v>5250</v>
      </c>
      <c r="AB28" s="387"/>
      <c r="AC28" s="387">
        <f>$E$28</f>
        <v>5250</v>
      </c>
      <c r="AD28" s="387"/>
      <c r="AE28" s="387">
        <f>$E$28</f>
        <v>5250</v>
      </c>
      <c r="AF28" s="387"/>
      <c r="AG28" s="387">
        <f>$E$28</f>
        <v>5250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201516</v>
      </c>
      <c r="F35" s="388"/>
      <c r="G35" s="388">
        <f>SUM(G22:G33)</f>
        <v>208385.31</v>
      </c>
      <c r="H35" s="388"/>
      <c r="I35" s="388">
        <f>SUM(I22:I33)</f>
        <v>215495.04584999999</v>
      </c>
      <c r="J35" s="388"/>
      <c r="K35" s="388">
        <f>SUM(K22:K33)</f>
        <v>222853.62245474997</v>
      </c>
      <c r="L35" s="388"/>
      <c r="M35" s="388">
        <f>SUM(M22:M33)</f>
        <v>230469.74924066622</v>
      </c>
      <c r="N35" s="388"/>
      <c r="O35" s="388">
        <f>SUM(O22:O33)</f>
        <v>238352.44046408951</v>
      </c>
      <c r="P35" s="388"/>
      <c r="Q35" s="388">
        <f>SUM(Q22:Q33)</f>
        <v>246511.02588033263</v>
      </c>
      <c r="R35" s="388"/>
      <c r="S35" s="388">
        <f>SUM(S22:S33)</f>
        <v>254955.16178614425</v>
      </c>
      <c r="T35" s="388"/>
      <c r="U35" s="388">
        <f>SUM(U22:U33)</f>
        <v>263694.84244865924</v>
      </c>
      <c r="V35" s="388"/>
      <c r="W35" s="388">
        <f>SUM(W22:W33)</f>
        <v>272740.41193436232</v>
      </c>
      <c r="X35" s="388"/>
      <c r="Y35" s="388">
        <f>SUM(Y22:Y33)</f>
        <v>282102.57635206496</v>
      </c>
      <c r="Z35" s="388"/>
      <c r="AA35" s="388">
        <f>SUM(AA22:AA33)</f>
        <v>291792.4165243872</v>
      </c>
      <c r="AB35" s="388"/>
      <c r="AC35" s="388">
        <f>SUM(AC22:AC33)</f>
        <v>301821.40110274078</v>
      </c>
      <c r="AD35" s="388"/>
      <c r="AE35" s="388">
        <f>SUM(AE22:AE33)</f>
        <v>312201.40014133666</v>
      </c>
      <c r="AF35" s="388"/>
      <c r="AG35" s="388">
        <f>SUM(AG22:AG33)</f>
        <v>322944.69914628344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228982.8</v>
      </c>
      <c r="F37" s="388"/>
      <c r="G37" s="388">
        <f>G11-G35</f>
        <v>232875.96000000002</v>
      </c>
      <c r="H37" s="388"/>
      <c r="I37" s="388">
        <f>I11-I35</f>
        <v>236797.75589999993</v>
      </c>
      <c r="J37" s="388"/>
      <c r="K37" s="388">
        <f>K11-K35</f>
        <v>240746.49933899994</v>
      </c>
      <c r="L37" s="388"/>
      <c r="M37" s="388">
        <f>M11-M35</f>
        <v>244720.37559792731</v>
      </c>
      <c r="N37" s="388"/>
      <c r="O37" s="388">
        <f>O11-O35</f>
        <v>248717.43749546888</v>
      </c>
      <c r="P37" s="388"/>
      <c r="Q37" s="388">
        <f>Q11-Q35</f>
        <v>252735.59902821475</v>
      </c>
      <c r="R37" s="388"/>
      <c r="S37" s="388">
        <f>S11-S35</f>
        <v>256772.62874511676</v>
      </c>
      <c r="T37" s="388"/>
      <c r="U37" s="388">
        <f>U11-U35</f>
        <v>260826.14284588327</v>
      </c>
      <c r="V37" s="388"/>
      <c r="W37" s="388">
        <f>W11-W35</f>
        <v>264893.59799254354</v>
      </c>
      <c r="X37" s="388"/>
      <c r="Y37" s="388">
        <f>Y11-Y35</f>
        <v>268972.28382301354</v>
      </c>
      <c r="Z37" s="388"/>
      <c r="AA37" s="388">
        <f>AA11-AA35</f>
        <v>273059.31515506818</v>
      </c>
      <c r="AB37" s="388"/>
      <c r="AC37" s="388">
        <f>AC11-AC35</f>
        <v>277151.62386870105</v>
      </c>
      <c r="AD37" s="388"/>
      <c r="AE37" s="388">
        <f>AE11-AE35</f>
        <v>281245.95045439113</v>
      </c>
      <c r="AF37" s="388"/>
      <c r="AG37" s="388">
        <f>AG11-AG35</f>
        <v>285338.83521433745</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199115</v>
      </c>
      <c r="F40" s="384"/>
      <c r="G40" s="384">
        <f>$E$40</f>
        <v>199115</v>
      </c>
      <c r="H40" s="384"/>
      <c r="I40" s="384">
        <f>$E$40</f>
        <v>199115</v>
      </c>
      <c r="J40" s="384"/>
      <c r="K40" s="384">
        <f>$E$40</f>
        <v>199115</v>
      </c>
      <c r="L40" s="384"/>
      <c r="M40" s="384">
        <f>$E$40</f>
        <v>199115</v>
      </c>
      <c r="N40" s="384"/>
      <c r="O40" s="384">
        <f>$E$40</f>
        <v>199115</v>
      </c>
      <c r="P40" s="384"/>
      <c r="Q40" s="384">
        <f>$E$40</f>
        <v>199115</v>
      </c>
      <c r="R40" s="384"/>
      <c r="S40" s="384">
        <f>$E$40</f>
        <v>199115</v>
      </c>
      <c r="T40" s="384"/>
      <c r="U40" s="384">
        <f>$E$40</f>
        <v>199115</v>
      </c>
      <c r="V40" s="384"/>
      <c r="W40" s="384">
        <f>$E$40</f>
        <v>199115</v>
      </c>
      <c r="X40" s="384"/>
      <c r="Y40" s="384">
        <f>$E$40</f>
        <v>199115</v>
      </c>
      <c r="Z40" s="384"/>
      <c r="AA40" s="384">
        <f>$E$40</f>
        <v>199115</v>
      </c>
      <c r="AB40" s="384"/>
      <c r="AC40" s="384">
        <f>$E$40</f>
        <v>199115</v>
      </c>
      <c r="AD40" s="384"/>
      <c r="AE40" s="384">
        <f>$E$40</f>
        <v>199115</v>
      </c>
      <c r="AF40" s="384"/>
      <c r="AG40" s="384">
        <f>$E$40</f>
        <v>199115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199115</v>
      </c>
      <c r="F43" s="388"/>
      <c r="G43" s="388">
        <f>SUM(G40:G42)</f>
        <v>199115</v>
      </c>
      <c r="H43" s="388"/>
      <c r="I43" s="388">
        <f>SUM(I40:I42)</f>
        <v>199115</v>
      </c>
      <c r="J43" s="388"/>
      <c r="K43" s="388">
        <f>SUM(K40:K42)</f>
        <v>199115</v>
      </c>
      <c r="L43" s="388"/>
      <c r="M43" s="388">
        <f>SUM(M40:M42)</f>
        <v>199115</v>
      </c>
      <c r="N43" s="388"/>
      <c r="O43" s="388">
        <f>SUM(O40:O42)</f>
        <v>199115</v>
      </c>
      <c r="P43" s="388"/>
      <c r="Q43" s="388">
        <f>SUM(Q40:Q42)</f>
        <v>199115</v>
      </c>
      <c r="R43" s="388"/>
      <c r="S43" s="388">
        <f>SUM(S40:S42)</f>
        <v>199115</v>
      </c>
      <c r="T43" s="388"/>
      <c r="U43" s="388">
        <f>SUM(U40:U42)</f>
        <v>199115</v>
      </c>
      <c r="V43" s="388"/>
      <c r="W43" s="388">
        <f>SUM(W40:W42)</f>
        <v>199115</v>
      </c>
      <c r="X43" s="388"/>
      <c r="Y43" s="388">
        <f>SUM(Y40:Y42)</f>
        <v>199115</v>
      </c>
      <c r="Z43" s="388"/>
      <c r="AA43" s="388">
        <f>SUM(AA40:AA42)</f>
        <v>199115</v>
      </c>
      <c r="AB43" s="388"/>
      <c r="AC43" s="388">
        <f>SUM(AC40:AC42)</f>
        <v>199115</v>
      </c>
      <c r="AD43" s="388"/>
      <c r="AE43" s="388">
        <f>SUM(AE40:AE42)</f>
        <v>199115</v>
      </c>
      <c r="AF43" s="388"/>
      <c r="AG43" s="388">
        <f>SUM(AG40:AG42)</f>
        <v>199115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29867.799999999988</v>
      </c>
      <c r="F45" s="388"/>
      <c r="G45" s="388">
        <f>G37-G43</f>
        <v>33760.960000000021</v>
      </c>
      <c r="H45" s="388"/>
      <c r="I45" s="388">
        <f>I37-I43</f>
        <v>37682.755899999931</v>
      </c>
      <c r="J45" s="388"/>
      <c r="K45" s="388">
        <f>K37-K43</f>
        <v>41631.499338999944</v>
      </c>
      <c r="L45" s="388"/>
      <c r="M45" s="388">
        <f>M37-M43</f>
        <v>45605.375597927312</v>
      </c>
      <c r="N45" s="388"/>
      <c r="O45" s="388">
        <f>O37-O43</f>
        <v>49602.437495468883</v>
      </c>
      <c r="P45" s="388"/>
      <c r="Q45" s="388">
        <f>Q37-Q43</f>
        <v>53620.599028214754</v>
      </c>
      <c r="R45" s="388"/>
      <c r="S45" s="388">
        <f>S37-S43</f>
        <v>57657.628745116759</v>
      </c>
      <c r="T45" s="388"/>
      <c r="U45" s="388">
        <f>U37-U43</f>
        <v>61711.142845883267</v>
      </c>
      <c r="V45" s="388"/>
      <c r="W45" s="388">
        <f>W37-W43</f>
        <v>65778.597992543539</v>
      </c>
      <c r="X45" s="388"/>
      <c r="Y45" s="388">
        <f>Y37-Y43</f>
        <v>69857.283823013538</v>
      </c>
      <c r="Z45" s="388"/>
      <c r="AA45" s="388">
        <f>AA37-AA43</f>
        <v>73944.31515506818</v>
      </c>
      <c r="AB45" s="388"/>
      <c r="AC45" s="388">
        <f>AC37-AC43</f>
        <v>78036.623868701048</v>
      </c>
      <c r="AD45" s="388"/>
      <c r="AE45" s="388">
        <f>AE37-AE43</f>
        <v>82130.950454391132</v>
      </c>
      <c r="AF45" s="388"/>
      <c r="AG45" s="388">
        <f>AG37-AG43</f>
        <v>86223.83521433745</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6.244156778137358E-2</v>
      </c>
      <c r="F47" s="392"/>
      <c r="G47" s="392">
        <f>G45/(G4+G6+G8)</f>
        <v>6.8859122850278759E-2</v>
      </c>
      <c r="H47" s="392"/>
      <c r="I47" s="392">
        <f>I45/(I4+I6+I8)</f>
        <v>7.4983462435791334E-2</v>
      </c>
      <c r="J47" s="392"/>
      <c r="K47" s="392">
        <f>K45/(K4+K6+K8)</f>
        <v>8.0820404576531085E-2</v>
      </c>
      <c r="L47" s="392"/>
      <c r="M47" s="392">
        <f>M45/(M4+M6+M8)</f>
        <v>8.6375612397408638E-2</v>
      </c>
      <c r="N47" s="392"/>
      <c r="O47" s="392">
        <f>O45/(O4+O6+O8)</f>
        <v>9.1654597761080703E-2</v>
      </c>
      <c r="P47" s="392"/>
      <c r="Q47" s="392">
        <f>Q45/(Q4+Q6+Q8)</f>
        <v>9.6662724829102945E-2</v>
      </c>
      <c r="R47" s="392"/>
      <c r="S47" s="392">
        <f>S45/(S4+S6+S8)</f>
        <v>0.10140521353497814</v>
      </c>
      <c r="T47" s="392"/>
      <c r="U47" s="392">
        <f>U45/(U4+U6+U8)</f>
        <v>0.10588714297123247</v>
      </c>
      <c r="V47" s="392"/>
      <c r="W47" s="392">
        <f>W45/(W4+W6+W8)</f>
        <v>0.11011345469260368</v>
      </c>
      <c r="X47" s="392"/>
      <c r="Y47" s="392">
        <f>Y45/(Y4+Y6+Y8)</f>
        <v>0.11408895593737965</v>
      </c>
      <c r="Z47" s="392"/>
      <c r="AA47" s="392">
        <f>AA45/(AA4+AA6+AA8)</f>
        <v>0.11781832276886316</v>
      </c>
      <c r="AB47" s="392"/>
      <c r="AC47" s="392">
        <f>AC45/(AC4+AC6+AC8)</f>
        <v>0.12130610313890743</v>
      </c>
      <c r="AD47" s="392"/>
      <c r="AE47" s="392">
        <f>AE45/(AE4+AE6+AE8)</f>
        <v>0.1245567198754028</v>
      </c>
      <c r="AF47" s="392"/>
      <c r="AG47" s="392">
        <f>AG45/(AG4+AG6+AG8)</f>
        <v>0.12757447359556123</v>
      </c>
      <c r="AH47" s="392"/>
      <c r="AI47" s="392"/>
    </row>
    <row r="48" spans="1:35" ht="13.8">
      <c r="A48" s="392" t="s">
        <v>1089</v>
      </c>
      <c r="B48" s="392"/>
      <c r="C48" s="385"/>
      <c r="D48" s="392"/>
      <c r="E48" s="392">
        <f>E45/E43</f>
        <v>0.15000276222283598</v>
      </c>
      <c r="F48" s="392"/>
      <c r="G48" s="392">
        <f>G45/G43</f>
        <v>0.16955508123446261</v>
      </c>
      <c r="H48" s="392"/>
      <c r="I48" s="392">
        <f>I45/I43</f>
        <v>0.18925121613138102</v>
      </c>
      <c r="J48" s="392"/>
      <c r="K48" s="392">
        <f>K45/K43</f>
        <v>0.20908268758757473</v>
      </c>
      <c r="L48" s="392"/>
      <c r="M48" s="392">
        <f>M45/M43</f>
        <v>0.22904038167856422</v>
      </c>
      <c r="N48" s="392"/>
      <c r="O48" s="392">
        <f>O45/O43</f>
        <v>0.24911451922491465</v>
      </c>
      <c r="P48" s="392"/>
      <c r="Q48" s="392">
        <f>Q45/Q43</f>
        <v>0.26929462385161718</v>
      </c>
      <c r="R48" s="392"/>
      <c r="S48" s="392">
        <f>S45/S43</f>
        <v>0.28956948871313942</v>
      </c>
      <c r="T48" s="392"/>
      <c r="U48" s="392">
        <f>U45/U43</f>
        <v>0.30992714183202302</v>
      </c>
      <c r="V48" s="392"/>
      <c r="W48" s="392">
        <f>W45/W43</f>
        <v>0.33035480999695421</v>
      </c>
      <c r="X48" s="392"/>
      <c r="Y48" s="392">
        <f>Y45/Y43</f>
        <v>0.35083888116421935</v>
      </c>
      <c r="Z48" s="392"/>
      <c r="AA48" s="392">
        <f>AA45/AA43</f>
        <v>0.37136486530431251</v>
      </c>
      <c r="AB48" s="392"/>
      <c r="AC48" s="392">
        <f>AC45/AC43</f>
        <v>0.39191735363333274</v>
      </c>
      <c r="AD48" s="392"/>
      <c r="AE48" s="392">
        <f>AE45/AE43</f>
        <v>0.4124799761664924</v>
      </c>
      <c r="AF48" s="392"/>
      <c r="AG48" s="392">
        <f>AG45/AG43</f>
        <v>0.433035357528752</v>
      </c>
      <c r="AH48" s="392"/>
      <c r="AI48" s="392"/>
    </row>
    <row r="49" spans="1:35" ht="13.8">
      <c r="A49" s="393" t="s">
        <v>1090</v>
      </c>
      <c r="B49" s="393"/>
      <c r="C49" s="394"/>
      <c r="D49" s="393"/>
      <c r="E49" s="393">
        <f>E37/E43</f>
        <v>1.1500027622228359</v>
      </c>
      <c r="F49" s="393"/>
      <c r="G49" s="393">
        <f>G37/G43</f>
        <v>1.1695550812344626</v>
      </c>
      <c r="H49" s="393"/>
      <c r="I49" s="393">
        <f>I37/I43</f>
        <v>1.1892512161313811</v>
      </c>
      <c r="J49" s="393"/>
      <c r="K49" s="393">
        <f>K37/K43</f>
        <v>1.2090826875875746</v>
      </c>
      <c r="L49" s="393"/>
      <c r="M49" s="393">
        <f>M37/M43</f>
        <v>1.2290403816785642</v>
      </c>
      <c r="N49" s="393"/>
      <c r="O49" s="393">
        <f>O37/O43</f>
        <v>1.2491145192249147</v>
      </c>
      <c r="P49" s="393"/>
      <c r="Q49" s="393">
        <f>Q37/Q43</f>
        <v>1.2692946238516172</v>
      </c>
      <c r="R49" s="393"/>
      <c r="S49" s="393">
        <f>S37/S43</f>
        <v>1.2895694887131395</v>
      </c>
      <c r="T49" s="393"/>
      <c r="U49" s="393">
        <f>U37/U43</f>
        <v>1.3099271418320231</v>
      </c>
      <c r="V49" s="393"/>
      <c r="W49" s="393">
        <f>W37/W43</f>
        <v>1.3303548099969542</v>
      </c>
      <c r="X49" s="393"/>
      <c r="Y49" s="393">
        <f>Y37/Y43</f>
        <v>1.3508388811642194</v>
      </c>
      <c r="Z49" s="393"/>
      <c r="AA49" s="393">
        <f>AA37/AA43</f>
        <v>1.3713648653043125</v>
      </c>
      <c r="AB49" s="393"/>
      <c r="AC49" s="393">
        <f>AC37/AC43</f>
        <v>1.3919173536333327</v>
      </c>
      <c r="AD49" s="393"/>
      <c r="AE49" s="393">
        <f>AE37/AE43</f>
        <v>1.4124799761664923</v>
      </c>
      <c r="AF49" s="393"/>
      <c r="AG49" s="393">
        <f>AG37/AG43</f>
        <v>1.433035357528752</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29867.799999999988</v>
      </c>
      <c r="F60" s="374"/>
      <c r="G60" s="374">
        <f>G45-G58</f>
        <v>33760.960000000021</v>
      </c>
      <c r="H60" s="374"/>
      <c r="I60" s="374">
        <f>I45-I58</f>
        <v>37682.755899999931</v>
      </c>
      <c r="J60" s="374"/>
      <c r="K60" s="374">
        <f>K45-K58</f>
        <v>41631.499338999944</v>
      </c>
      <c r="L60" s="374"/>
      <c r="M60" s="374">
        <f>M45-M58</f>
        <v>45605.375597927312</v>
      </c>
      <c r="N60" s="374"/>
      <c r="O60" s="374">
        <f>O45-O58</f>
        <v>49602.437495468883</v>
      </c>
      <c r="P60" s="374"/>
      <c r="Q60" s="374">
        <f>Q45-Q58</f>
        <v>53620.599028214754</v>
      </c>
      <c r="R60" s="374"/>
      <c r="S60" s="374">
        <f>S45-S58</f>
        <v>57657.628745116759</v>
      </c>
      <c r="T60" s="374"/>
      <c r="U60" s="374">
        <f>U45-U58</f>
        <v>61711.142845883267</v>
      </c>
      <c r="V60" s="374"/>
      <c r="W60" s="374">
        <f>W45-W58</f>
        <v>65778.597992543539</v>
      </c>
      <c r="X60" s="374"/>
      <c r="Y60" s="374">
        <f>Y45-Y58</f>
        <v>69857.283823013538</v>
      </c>
      <c r="Z60" s="374"/>
      <c r="AA60" s="374">
        <f>AA45-AA58</f>
        <v>73944.31515506818</v>
      </c>
      <c r="AB60" s="374"/>
      <c r="AC60" s="374">
        <f>AC45-AC58</f>
        <v>78036.623868701048</v>
      </c>
      <c r="AD60" s="374"/>
      <c r="AE60" s="374">
        <f>AE45-AE58</f>
        <v>82130.950454391132</v>
      </c>
      <c r="AF60" s="374"/>
      <c r="AG60" s="374">
        <f>AG45-AG58</f>
        <v>86223.83521433745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29867.799999999988</v>
      </c>
      <c r="F72" s="380"/>
      <c r="G72" s="374">
        <f>G60-G62-G70</f>
        <v>33760.960000000021</v>
      </c>
      <c r="H72" s="380"/>
      <c r="I72" s="374">
        <f>I60-I62-I70</f>
        <v>37682.755899999931</v>
      </c>
      <c r="J72" s="380"/>
      <c r="K72" s="374">
        <f>K60-K62-K70</f>
        <v>41631.499338999944</v>
      </c>
      <c r="L72" s="380"/>
      <c r="M72" s="374">
        <f>M60-M62-M70</f>
        <v>45605.375597927312</v>
      </c>
      <c r="N72" s="380"/>
      <c r="O72" s="374">
        <f>O60-O62-O70</f>
        <v>49602.437495468883</v>
      </c>
      <c r="P72" s="380"/>
      <c r="Q72" s="374">
        <f>Q60-Q62-Q70</f>
        <v>53620.599028214754</v>
      </c>
      <c r="R72" s="380"/>
      <c r="S72" s="374">
        <f>S60-S62-S70</f>
        <v>57657.628745116759</v>
      </c>
      <c r="T72" s="380"/>
      <c r="U72" s="374">
        <f>U60-U62-U70</f>
        <v>61711.142845883267</v>
      </c>
      <c r="V72" s="380"/>
      <c r="W72" s="374">
        <f>W60-W62-W70</f>
        <v>65778.597992543539</v>
      </c>
      <c r="X72" s="380"/>
      <c r="Y72" s="374">
        <f>Y60-Y62-Y70</f>
        <v>69857.283823013538</v>
      </c>
      <c r="Z72" s="380"/>
      <c r="AA72" s="374">
        <f>AA60-AA62-AA70</f>
        <v>73944.31515506818</v>
      </c>
      <c r="AB72" s="380"/>
      <c r="AC72" s="374">
        <f>AC60-AC62-AC70</f>
        <v>78036.623868701048</v>
      </c>
      <c r="AD72" s="380"/>
      <c r="AE72" s="374">
        <f>AE60-AE62-AE70</f>
        <v>82130.950454391132</v>
      </c>
      <c r="AF72" s="380"/>
      <c r="AG72" s="374">
        <f>AG60-AG62-AG70</f>
        <v>86223.83521433745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1099</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7" sqref="E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1" t="s">
        <v>1170</v>
      </c>
      <c r="B1" s="1961"/>
      <c r="C1" s="1961"/>
      <c r="D1" s="1961"/>
      <c r="E1" s="1961"/>
      <c r="F1" s="1961"/>
      <c r="G1" s="1961"/>
      <c r="H1" s="1961"/>
      <c r="I1" s="1961"/>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4</v>
      </c>
      <c r="C4" s="602">
        <f>Application!$O695</f>
        <v>951</v>
      </c>
      <c r="D4" s="603"/>
      <c r="E4" s="942"/>
      <c r="F4" s="602">
        <f>$E4*$B4</f>
        <v>0</v>
      </c>
      <c r="G4" s="603"/>
      <c r="H4" s="602">
        <f>IF($E4=0,0,MAX($E4-$C4,0))</f>
        <v>0</v>
      </c>
      <c r="I4" s="602">
        <f>IF($H4=0,0,($H4*$B4))</f>
        <v>0</v>
      </c>
    </row>
    <row r="5" spans="1:9">
      <c r="A5" s="602" t="str">
        <f>Application!$B696</f>
        <v>SRO/Studio</v>
      </c>
      <c r="B5" s="943">
        <f>Application!$G696</f>
        <v>4</v>
      </c>
      <c r="C5" s="602">
        <f>Application!$O696</f>
        <v>951</v>
      </c>
      <c r="D5" s="603"/>
      <c r="E5" s="942">
        <v>2097</v>
      </c>
      <c r="F5" s="602">
        <f t="shared" ref="F5:F38" si="0">$E5*$B5</f>
        <v>8388</v>
      </c>
      <c r="G5" s="603"/>
      <c r="H5" s="602">
        <f t="shared" ref="H5:H38" si="1">IF($E5=0,0,MAX($E5-$C5,0))</f>
        <v>1146</v>
      </c>
      <c r="I5" s="602">
        <f t="shared" ref="I5:I38" si="2">IF($H5=0,0,($H5*$B5))</f>
        <v>4584</v>
      </c>
    </row>
    <row r="6" spans="1:9">
      <c r="A6" s="602" t="str">
        <f>Application!$B697</f>
        <v>1 Bedroom</v>
      </c>
      <c r="B6" s="943">
        <f>Application!$G697</f>
        <v>10</v>
      </c>
      <c r="C6" s="602">
        <f>Application!$O697</f>
        <v>1018</v>
      </c>
      <c r="D6" s="603"/>
      <c r="E6" s="942">
        <v>2243</v>
      </c>
      <c r="F6" s="602">
        <f t="shared" si="0"/>
        <v>22430</v>
      </c>
      <c r="G6" s="603"/>
      <c r="H6" s="602">
        <f t="shared" si="1"/>
        <v>1225</v>
      </c>
      <c r="I6" s="602">
        <f t="shared" si="2"/>
        <v>12250</v>
      </c>
    </row>
    <row r="7" spans="1:9">
      <c r="A7" s="602" t="str">
        <f>Application!$B698</f>
        <v>2 Bedrooms</v>
      </c>
      <c r="B7" s="943">
        <f>Application!$G698</f>
        <v>1</v>
      </c>
      <c r="C7" s="602">
        <f>Application!$O698</f>
        <v>1222</v>
      </c>
      <c r="D7" s="603"/>
      <c r="E7" s="942">
        <v>3244</v>
      </c>
      <c r="F7" s="602">
        <f t="shared" si="0"/>
        <v>3244</v>
      </c>
      <c r="G7" s="603"/>
      <c r="H7" s="602">
        <f t="shared" si="1"/>
        <v>2022</v>
      </c>
      <c r="I7" s="602">
        <f t="shared" si="2"/>
        <v>2022</v>
      </c>
    </row>
    <row r="8" spans="1:9">
      <c r="A8" s="602" t="str">
        <f>Application!$B699</f>
        <v>4 Bedrooms</v>
      </c>
      <c r="B8" s="943">
        <f>Application!$G699</f>
        <v>1</v>
      </c>
      <c r="C8" s="602">
        <f>Application!$O699</f>
        <v>1575</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247020</v>
      </c>
      <c r="D40" s="603"/>
      <c r="E40" s="603"/>
      <c r="F40" s="606">
        <f>SUM(F4:F38)*12</f>
        <v>408744</v>
      </c>
      <c r="G40" s="607"/>
      <c r="H40" s="605"/>
      <c r="I40" s="606">
        <f>SUM(I4:I38)*12</f>
        <v>226272</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1" t="s">
        <v>1100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9" t="s">
        <v>1606</v>
      </c>
      <c r="U7" s="1599"/>
      <c r="V7" s="1599"/>
      <c r="W7" s="1599"/>
      <c r="X7" s="1599"/>
      <c r="Y7" s="1599" t="s">
        <v>1748</v>
      </c>
      <c r="Z7" s="1599"/>
      <c r="AA7" s="1599"/>
      <c r="AB7" s="1599"/>
      <c r="AC7" s="1599"/>
      <c r="AD7" s="1599" t="s">
        <v>1360</v>
      </c>
      <c r="AE7" s="1599"/>
      <c r="AF7" s="1599"/>
      <c r="AG7" s="1599"/>
      <c r="AH7" s="1599"/>
      <c r="AI7" s="1599" t="s">
        <v>1749</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15792139</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 customHeight="1">
      <c r="B13" s="8"/>
      <c r="C13" s="1625" t="s">
        <v>1712</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 customHeight="1">
      <c r="B14" s="8"/>
      <c r="C14" s="1626" t="s">
        <v>768</v>
      </c>
      <c r="D14" s="1626"/>
      <c r="E14" s="1626"/>
      <c r="F14" s="1626"/>
      <c r="G14" s="1626"/>
      <c r="H14" s="1626"/>
      <c r="I14" s="1626"/>
      <c r="J14" s="1626"/>
      <c r="K14" s="1626"/>
      <c r="L14" s="1626"/>
      <c r="M14" s="1626"/>
      <c r="N14" s="1626"/>
      <c r="O14" s="1626"/>
      <c r="P14" s="1626"/>
      <c r="Q14" s="1626"/>
      <c r="R14" s="1626"/>
      <c r="S14" s="1627"/>
      <c r="T14" s="1166">
        <f>'Basis &amp; Credits'!T14</f>
        <v>0</v>
      </c>
      <c r="U14" s="1182"/>
      <c r="V14" s="1182"/>
      <c r="W14" s="1182"/>
      <c r="X14" s="1182"/>
      <c r="Y14" s="1166">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 customHeight="1">
      <c r="B15" s="8"/>
      <c r="C15" s="1626" t="s">
        <v>769</v>
      </c>
      <c r="D15" s="1626"/>
      <c r="E15" s="1626"/>
      <c r="F15" s="1626"/>
      <c r="G15" s="1626"/>
      <c r="H15" s="1626"/>
      <c r="I15" s="1626"/>
      <c r="J15" s="1626"/>
      <c r="K15" s="1626"/>
      <c r="L15" s="1626"/>
      <c r="M15" s="1626"/>
      <c r="N15" s="1626"/>
      <c r="O15" s="1626"/>
      <c r="P15" s="1626"/>
      <c r="Q15" s="1626"/>
      <c r="R15" s="1626"/>
      <c r="S15" s="1627"/>
      <c r="T15" s="1166">
        <f>'Basis &amp; Credits'!T15</f>
        <v>0</v>
      </c>
      <c r="U15" s="1182"/>
      <c r="V15" s="1182"/>
      <c r="W15" s="1182"/>
      <c r="X15" s="1182"/>
      <c r="Y15" s="1166">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 customHeight="1">
      <c r="B16" s="8"/>
      <c r="C16" s="1625" t="s">
        <v>1012</v>
      </c>
      <c r="D16" s="1625"/>
      <c r="E16" s="1625"/>
      <c r="F16" s="1625"/>
      <c r="G16" s="1625"/>
      <c r="H16" s="1625"/>
      <c r="I16" s="1625"/>
      <c r="J16" s="1625"/>
      <c r="K16" s="1625"/>
      <c r="L16" s="1625"/>
      <c r="M16" s="1625"/>
      <c r="N16" s="1625"/>
      <c r="O16" s="1625"/>
      <c r="P16" s="1625"/>
      <c r="Q16" s="1625"/>
      <c r="R16" s="1625"/>
      <c r="S16" s="1628"/>
      <c r="T16" s="1166">
        <f>'Basis &amp; Credits'!T16</f>
        <v>0</v>
      </c>
      <c r="U16" s="1182"/>
      <c r="V16" s="1182"/>
      <c r="W16" s="1182"/>
      <c r="X16" s="1182"/>
      <c r="Y16" s="1166">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 customHeight="1">
      <c r="B17" s="8"/>
      <c r="C17" s="1626" t="s">
        <v>770</v>
      </c>
      <c r="D17" s="1626"/>
      <c r="E17" s="1626"/>
      <c r="F17" s="1626"/>
      <c r="G17" s="1626"/>
      <c r="H17" s="1626"/>
      <c r="I17" s="1626"/>
      <c r="J17" s="1626"/>
      <c r="K17" s="1626"/>
      <c r="L17" s="1626"/>
      <c r="M17" s="1626"/>
      <c r="N17" s="1626"/>
      <c r="O17" s="1626"/>
      <c r="P17" s="1626"/>
      <c r="Q17" s="1626"/>
      <c r="R17" s="1626"/>
      <c r="S17" s="1627"/>
      <c r="T17" s="1166">
        <f>'Basis &amp; Credits'!T17</f>
        <v>0</v>
      </c>
      <c r="U17" s="1182"/>
      <c r="V17" s="1182"/>
      <c r="W17" s="1182"/>
      <c r="X17" s="1182"/>
      <c r="Y17" s="1166">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 customHeight="1">
      <c r="B18" s="593"/>
      <c r="C18" s="1625" t="s">
        <v>1364</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2"/>
      <c r="V19" s="1182"/>
      <c r="W19" s="1182"/>
      <c r="X19" s="1182"/>
      <c r="Y19" s="1166">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Credits'!E21</f>
        <v>0</v>
      </c>
      <c r="U21" s="1182"/>
      <c r="V21" s="1182"/>
      <c r="W21" s="1182"/>
      <c r="X21" s="1182"/>
      <c r="Y21" s="1166">
        <f>'Basis &amp; Credits'!J21</f>
        <v>0</v>
      </c>
      <c r="Z21" s="1182"/>
      <c r="AA21" s="1182"/>
      <c r="AB21" s="1182"/>
      <c r="AC21" s="1182"/>
      <c r="AD21" s="1182">
        <f>'Basis &amp; Credits'!O21</f>
        <v>0</v>
      </c>
      <c r="AE21" s="1182"/>
      <c r="AF21" s="1182"/>
      <c r="AG21" s="1182"/>
      <c r="AH21" s="1182"/>
      <c r="AI21" s="1182">
        <f>'Basis &amp; Credits'!T21</f>
        <v>5328551</v>
      </c>
      <c r="AJ21" s="1182"/>
      <c r="AK21" s="1182"/>
      <c r="AL21" s="1182"/>
      <c r="AM21" s="1182"/>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-5328551</v>
      </c>
      <c r="AJ22" s="1631"/>
      <c r="AK22" s="1631"/>
      <c r="AL22" s="1631"/>
      <c r="AM22" s="1631"/>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15792139</v>
      </c>
      <c r="U23" s="1297"/>
      <c r="V23" s="1297"/>
      <c r="W23" s="1297"/>
      <c r="X23" s="1297"/>
      <c r="Y23" s="1596">
        <f>Y11+Y22</f>
        <v>0</v>
      </c>
      <c r="Z23" s="1297"/>
      <c r="AA23" s="1297"/>
      <c r="AB23" s="1297"/>
      <c r="AC23" s="1297"/>
      <c r="AD23" s="1596">
        <f>AD11+AD22</f>
        <v>0</v>
      </c>
      <c r="AE23" s="1297"/>
      <c r="AF23" s="1297"/>
      <c r="AG23" s="1297"/>
      <c r="AH23" s="1297"/>
      <c r="AI23" s="1596">
        <f>AI11+AI22</f>
        <v>-5328551</v>
      </c>
      <c r="AJ23" s="1297"/>
      <c r="AK23" s="1297"/>
      <c r="AL23" s="1297"/>
      <c r="AM23" s="1297"/>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7" t="s">
        <v>1747</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15792139</v>
      </c>
      <c r="U26" s="1608"/>
      <c r="V26" s="1608"/>
      <c r="W26" s="1608"/>
      <c r="X26" s="1608"/>
      <c r="Y26" s="1094">
        <f>Y23*Y25</f>
        <v>0</v>
      </c>
      <c r="Z26" s="1608"/>
      <c r="AA26" s="1608"/>
      <c r="AB26" s="1608"/>
      <c r="AC26" s="1608"/>
      <c r="AD26" s="1094">
        <f>AD23*AD25</f>
        <v>0</v>
      </c>
      <c r="AE26" s="1608"/>
      <c r="AF26" s="1608"/>
      <c r="AG26" s="1608"/>
      <c r="AH26" s="1608"/>
      <c r="AI26" s="1094">
        <f>AI23*AI25</f>
        <v>-5328551</v>
      </c>
      <c r="AJ26" s="1608"/>
      <c r="AK26" s="1608"/>
      <c r="AL26" s="1608"/>
      <c r="AM26" s="1608"/>
    </row>
    <row r="27" spans="1:39" ht="12.9"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15792139</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-5328551</v>
      </c>
      <c r="AJ28" s="1608"/>
      <c r="AK28" s="1608"/>
      <c r="AL28" s="1608"/>
      <c r="AM28" s="1608"/>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10463588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2.9" customHeight="1">
      <c r="B36" s="204"/>
      <c r="X36" s="71"/>
      <c r="Y36" s="1599"/>
      <c r="Z36" s="1599"/>
      <c r="AA36" s="1599"/>
      <c r="AB36" s="1599"/>
      <c r="AC36" s="1599"/>
      <c r="AD36" s="1227"/>
      <c r="AE36" s="1227"/>
      <c r="AF36" s="1227"/>
      <c r="AG36" s="1227"/>
      <c r="AH36" s="122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7">
        <f>IF(T24&gt;=(T23+Y23+AD23+AI23),T28+Y28,0)</f>
        <v>0</v>
      </c>
      <c r="Z38" s="1297"/>
      <c r="AA38" s="1297"/>
      <c r="AB38" s="1297"/>
      <c r="AC38" s="1297"/>
      <c r="AD38" s="1297">
        <f>IF(T24&gt;=(T23+Y23+AD23+AI23),AD28+AI28,0)</f>
        <v>0</v>
      </c>
      <c r="AE38" s="1297"/>
      <c r="AF38" s="1297"/>
      <c r="AG38" s="1297"/>
      <c r="AH38" s="1297"/>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3">
        <v>0.09</v>
      </c>
      <c r="Z39" s="1963"/>
      <c r="AA39" s="1963"/>
      <c r="AB39" s="1963"/>
      <c r="AC39" s="1963"/>
      <c r="AD39" s="1595">
        <v>0.04</v>
      </c>
      <c r="AE39" s="1595"/>
      <c r="AF39" s="1595"/>
      <c r="AG39" s="1595"/>
      <c r="AH39" s="1595"/>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7">
        <f>ROUND(Y38*Y39,0)</f>
        <v>0</v>
      </c>
      <c r="Z40" s="1297"/>
      <c r="AA40" s="1297"/>
      <c r="AB40" s="1297"/>
      <c r="AC40" s="1297"/>
      <c r="AD40" s="1596">
        <f>ROUND(AD38*AD39,0)</f>
        <v>0</v>
      </c>
      <c r="AE40" s="1297"/>
      <c r="AF40" s="1297"/>
      <c r="AG40" s="1297"/>
      <c r="AH40" s="1297"/>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2.9"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8">
        <f>'Sources and Uses Budget'!B104-'Sources and Uses Budget'!$B$15</f>
        <v>19824769</v>
      </c>
      <c r="AC46" s="1229"/>
      <c r="AD46" s="1229"/>
      <c r="AE46" s="1229"/>
      <c r="AF46" s="1230"/>
    </row>
    <row r="47" spans="1:40" ht="12.9" customHeight="1">
      <c r="D47" s="3" t="s">
        <v>837</v>
      </c>
      <c r="AB47" s="1228">
        <f>Application!AG633-MIN('Sources and Uses Budget'!B15,Application!AG385)</f>
        <v>0</v>
      </c>
      <c r="AC47" s="1229"/>
      <c r="AD47" s="1229"/>
      <c r="AE47" s="1229"/>
      <c r="AF47" s="1230"/>
    </row>
    <row r="48" spans="1:40" ht="12.9" customHeight="1">
      <c r="D48" s="3" t="s">
        <v>378</v>
      </c>
      <c r="AB48" s="1228">
        <f>AB46-AB47</f>
        <v>19824769</v>
      </c>
      <c r="AC48" s="1229"/>
      <c r="AD48" s="1229"/>
      <c r="AE48" s="1229"/>
      <c r="AF48" s="1230"/>
    </row>
    <row r="49" spans="1:40" ht="12.9" customHeight="1">
      <c r="D49" s="3" t="s">
        <v>872</v>
      </c>
      <c r="AA49" s="34"/>
      <c r="AB49" s="1602"/>
      <c r="AC49" s="1603"/>
      <c r="AD49" s="1603"/>
      <c r="AE49" s="1603"/>
      <c r="AF49" s="1604"/>
    </row>
    <row r="50" spans="1:40" s="323" customFormat="1" ht="12.9"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8">
        <f>ROUND(IF(ISERROR((AB48/AB49)),0,(AB48/AB49)),0)</f>
        <v>0</v>
      </c>
      <c r="AC53" s="1229"/>
      <c r="AD53" s="1229"/>
      <c r="AE53" s="1229"/>
      <c r="AF53" s="1230"/>
    </row>
    <row r="54" spans="1:40" ht="12.9" customHeight="1">
      <c r="D54" s="3" t="s">
        <v>561</v>
      </c>
      <c r="AB54" s="1228">
        <f>(AB53/10)</f>
        <v>0</v>
      </c>
      <c r="AC54" s="1229"/>
      <c r="AD54" s="1229"/>
      <c r="AE54" s="1229"/>
      <c r="AF54" s="1230"/>
    </row>
    <row r="55" spans="1:40" ht="12.9" customHeight="1">
      <c r="D55" s="3" t="s">
        <v>341</v>
      </c>
      <c r="AB55" s="1228">
        <f>(IF((Y41&lt;AB54),Y41,AB54))</f>
        <v>0</v>
      </c>
      <c r="AC55" s="1229"/>
      <c r="AD55" s="1229"/>
      <c r="AE55" s="1229"/>
      <c r="AF55" s="1230"/>
    </row>
    <row r="56" spans="1:40" ht="12.9" customHeight="1">
      <c r="D56" s="3" t="s">
        <v>107</v>
      </c>
      <c r="AB56" s="1228">
        <f>ROUND((10*AB55*AB49),0)</f>
        <v>0</v>
      </c>
      <c r="AC56" s="1229"/>
      <c r="AD56" s="1229"/>
      <c r="AE56" s="1229"/>
      <c r="AF56" s="1230"/>
    </row>
    <row r="57" spans="1:40" ht="12.9" customHeight="1">
      <c r="D57" s="3"/>
      <c r="AB57" s="276"/>
      <c r="AC57" s="276"/>
      <c r="AD57" s="276"/>
      <c r="AE57" s="276"/>
      <c r="AF57" s="276"/>
    </row>
    <row r="58" spans="1:40" ht="12.9" customHeight="1">
      <c r="D58" s="3" t="s">
        <v>106</v>
      </c>
      <c r="AB58" s="1301">
        <f>AB48-AB56</f>
        <v>19824769</v>
      </c>
      <c r="AC58" s="1301"/>
      <c r="AD58" s="1301"/>
      <c r="AE58" s="1301"/>
      <c r="AF58" s="130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5"/>
      <c r="AA63" s="1605"/>
      <c r="AB63" s="1605"/>
      <c r="AC63" s="1605"/>
      <c r="AD63" s="1297">
        <f>AI28</f>
        <v>-5328551</v>
      </c>
      <c r="AE63" s="1605"/>
      <c r="AF63" s="1605"/>
      <c r="AG63" s="1605"/>
      <c r="AH63" s="1605"/>
    </row>
    <row r="64" spans="1:40" ht="12.9"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 customHeight="1">
      <c r="C67" s="3"/>
      <c r="D67" s="3" t="s">
        <v>941</v>
      </c>
      <c r="Y67" s="1297">
        <f>ROUND(Y63*Y66,0)</f>
        <v>0</v>
      </c>
      <c r="Z67" s="1605"/>
      <c r="AA67" s="1605"/>
      <c r="AB67" s="1605"/>
      <c r="AC67" s="1605"/>
      <c r="AD67" s="1297" t="str">
        <f>IF(OR(Application!D211="At-Risk",Application!D211="At-Risk/Located in Rural Census Tract",Application!D214="At-Risk"),ROUND(AD63*AD66,0),"$0")</f>
        <v>$0</v>
      </c>
      <c r="AE67" s="1297"/>
      <c r="AF67" s="1297"/>
      <c r="AG67" s="1297"/>
      <c r="AH67" s="1297"/>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2"/>
      <c r="AC70" s="1603"/>
      <c r="AD70" s="1603"/>
      <c r="AE70" s="1603"/>
      <c r="AF70" s="1604"/>
    </row>
    <row r="71" spans="1:34" ht="12.9" customHeight="1">
      <c r="A71" s="3"/>
      <c r="C71" s="3"/>
      <c r="D71" s="3"/>
      <c r="E71" s="1606" t="s">
        <v>1745</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8">
        <f>ROUND(IF(ISERROR((AB58/AB70)),0,(AB58/AB70)),0)</f>
        <v>0</v>
      </c>
      <c r="AC75" s="1278"/>
      <c r="AD75" s="1278"/>
      <c r="AE75" s="1278"/>
      <c r="AF75" s="1278"/>
    </row>
    <row r="76" spans="1:34" ht="12.9" customHeight="1">
      <c r="C76" s="3"/>
      <c r="D76" s="3" t="s">
        <v>105</v>
      </c>
      <c r="AB76" s="1176">
        <f>IF((Y67+AD67&lt;AB75),Y67+AD67,AB75)</f>
        <v>0</v>
      </c>
      <c r="AC76" s="1177"/>
      <c r="AD76" s="1177"/>
      <c r="AE76" s="1177"/>
      <c r="AF76" s="1178"/>
    </row>
    <row r="77" spans="1:34" ht="12.9" customHeight="1">
      <c r="C77" s="3"/>
      <c r="D77" s="3" t="s">
        <v>942</v>
      </c>
      <c r="AB77" s="1600">
        <f>AB76*AB70</f>
        <v>0</v>
      </c>
      <c r="AC77" s="1600"/>
      <c r="AD77" s="1600"/>
      <c r="AE77" s="1600"/>
      <c r="AF77" s="1600"/>
    </row>
    <row r="78" spans="1:34" ht="12.9" customHeight="1">
      <c r="C78" s="3"/>
      <c r="D78" s="3"/>
      <c r="AB78" s="598"/>
      <c r="AC78" s="598"/>
      <c r="AD78" s="598"/>
      <c r="AE78" s="598"/>
      <c r="AF78" s="598"/>
    </row>
    <row r="79" spans="1:34" ht="12.9" customHeight="1">
      <c r="D79" s="3" t="s">
        <v>106</v>
      </c>
      <c r="AB79" s="1301">
        <f>AB48-(AB56+AB77)</f>
        <v>19824769</v>
      </c>
      <c r="AC79" s="1301"/>
      <c r="AD79" s="1301"/>
      <c r="AE79" s="1301"/>
      <c r="AF79" s="1301"/>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1" t="s">
        <v>1354</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9" t="s">
        <v>1606</v>
      </c>
      <c r="U7" s="1599"/>
      <c r="V7" s="1599"/>
      <c r="W7" s="1599"/>
      <c r="X7" s="1599"/>
      <c r="Y7" s="1599" t="s">
        <v>1748</v>
      </c>
      <c r="Z7" s="1599"/>
      <c r="AA7" s="1599"/>
      <c r="AB7" s="1599"/>
      <c r="AC7" s="1599"/>
      <c r="AD7" s="1599" t="s">
        <v>1360</v>
      </c>
      <c r="AE7" s="1599"/>
      <c r="AF7" s="1599"/>
      <c r="AG7" s="1599"/>
      <c r="AH7" s="1599"/>
      <c r="AI7" s="1599" t="s">
        <v>1749</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15792139</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 customHeight="1">
      <c r="B13" s="8"/>
      <c r="C13" s="1625" t="s">
        <v>1712</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 customHeight="1">
      <c r="B14" s="8"/>
      <c r="C14" s="1626" t="s">
        <v>768</v>
      </c>
      <c r="D14" s="1626"/>
      <c r="E14" s="1626"/>
      <c r="F14" s="1626"/>
      <c r="G14" s="1626"/>
      <c r="H14" s="1626"/>
      <c r="I14" s="1626"/>
      <c r="J14" s="1626"/>
      <c r="K14" s="1626"/>
      <c r="L14" s="1626"/>
      <c r="M14" s="1626"/>
      <c r="N14" s="1626"/>
      <c r="O14" s="1626"/>
      <c r="P14" s="1626"/>
      <c r="Q14" s="1626"/>
      <c r="R14" s="1626"/>
      <c r="S14" s="1627"/>
      <c r="T14" s="1166">
        <f>'Basis &amp; Credits'!T14</f>
        <v>0</v>
      </c>
      <c r="U14" s="1182"/>
      <c r="V14" s="1182"/>
      <c r="W14" s="1182"/>
      <c r="X14" s="1182"/>
      <c r="Y14" s="1166">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 customHeight="1">
      <c r="B15" s="8"/>
      <c r="C15" s="1626" t="s">
        <v>769</v>
      </c>
      <c r="D15" s="1626"/>
      <c r="E15" s="1626"/>
      <c r="F15" s="1626"/>
      <c r="G15" s="1626"/>
      <c r="H15" s="1626"/>
      <c r="I15" s="1626"/>
      <c r="J15" s="1626"/>
      <c r="K15" s="1626"/>
      <c r="L15" s="1626"/>
      <c r="M15" s="1626"/>
      <c r="N15" s="1626"/>
      <c r="O15" s="1626"/>
      <c r="P15" s="1626"/>
      <c r="Q15" s="1626"/>
      <c r="R15" s="1626"/>
      <c r="S15" s="1627"/>
      <c r="T15" s="1166">
        <f>'Basis &amp; Credits'!T15</f>
        <v>0</v>
      </c>
      <c r="U15" s="1182"/>
      <c r="V15" s="1182"/>
      <c r="W15" s="1182"/>
      <c r="X15" s="1182"/>
      <c r="Y15" s="1166">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 customHeight="1">
      <c r="B16" s="8"/>
      <c r="C16" s="1625" t="s">
        <v>1012</v>
      </c>
      <c r="D16" s="1625"/>
      <c r="E16" s="1625"/>
      <c r="F16" s="1625"/>
      <c r="G16" s="1625"/>
      <c r="H16" s="1625"/>
      <c r="I16" s="1625"/>
      <c r="J16" s="1625"/>
      <c r="K16" s="1625"/>
      <c r="L16" s="1625"/>
      <c r="M16" s="1625"/>
      <c r="N16" s="1625"/>
      <c r="O16" s="1625"/>
      <c r="P16" s="1625"/>
      <c r="Q16" s="1625"/>
      <c r="R16" s="1625"/>
      <c r="S16" s="1628"/>
      <c r="T16" s="1166">
        <f>'Basis &amp; Credits'!T16</f>
        <v>0</v>
      </c>
      <c r="U16" s="1182"/>
      <c r="V16" s="1182"/>
      <c r="W16" s="1182"/>
      <c r="X16" s="1182"/>
      <c r="Y16" s="1166">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 customHeight="1">
      <c r="B17" s="8"/>
      <c r="C17" s="1626" t="s">
        <v>770</v>
      </c>
      <c r="D17" s="1626"/>
      <c r="E17" s="1626"/>
      <c r="F17" s="1626"/>
      <c r="G17" s="1626"/>
      <c r="H17" s="1626"/>
      <c r="I17" s="1626"/>
      <c r="J17" s="1626"/>
      <c r="K17" s="1626"/>
      <c r="L17" s="1626"/>
      <c r="M17" s="1626"/>
      <c r="N17" s="1626"/>
      <c r="O17" s="1626"/>
      <c r="P17" s="1626"/>
      <c r="Q17" s="1626"/>
      <c r="R17" s="1626"/>
      <c r="S17" s="1627"/>
      <c r="T17" s="1166">
        <f>'Basis &amp; Credits'!T17</f>
        <v>0</v>
      </c>
      <c r="U17" s="1182"/>
      <c r="V17" s="1182"/>
      <c r="W17" s="1182"/>
      <c r="X17" s="1182"/>
      <c r="Y17" s="1166">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 customHeight="1">
      <c r="B18" s="593"/>
      <c r="C18" s="1625" t="s">
        <v>1364</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2"/>
      <c r="V19" s="1182"/>
      <c r="W19" s="1182"/>
      <c r="X19" s="1182"/>
      <c r="Y19" s="1166">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Credits'!T21</f>
        <v>5328551</v>
      </c>
      <c r="U21" s="1182"/>
      <c r="V21" s="1182"/>
      <c r="W21" s="1182"/>
      <c r="X21" s="1182"/>
      <c r="Y21" s="1166">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-5328551</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10463588</v>
      </c>
      <c r="U23" s="1297"/>
      <c r="V23" s="1297"/>
      <c r="W23" s="1297"/>
      <c r="X23" s="1297"/>
      <c r="Y23" s="1596">
        <f>Y11+Y22</f>
        <v>0</v>
      </c>
      <c r="Z23" s="1297"/>
      <c r="AA23" s="1297"/>
      <c r="AB23" s="1297"/>
      <c r="AC23" s="1297"/>
      <c r="AD23" s="1596">
        <f>AD11+AD22</f>
        <v>0</v>
      </c>
      <c r="AE23" s="1297"/>
      <c r="AF23" s="1297"/>
      <c r="AG23" s="1297"/>
      <c r="AH23" s="1297"/>
      <c r="AI23" s="1596">
        <f>AI11+AI22</f>
        <v>0</v>
      </c>
      <c r="AJ23" s="1297"/>
      <c r="AK23" s="1297"/>
      <c r="AL23" s="1297"/>
      <c r="AM23" s="1297"/>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7" t="s">
        <v>1747</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10463588</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2.9"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10463588</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10463588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2.9" customHeight="1">
      <c r="B36" s="204"/>
      <c r="X36" s="71"/>
      <c r="Y36" s="1599"/>
      <c r="Z36" s="1599"/>
      <c r="AA36" s="1599"/>
      <c r="AB36" s="1599"/>
      <c r="AC36" s="1599"/>
      <c r="AD36" s="1227"/>
      <c r="AE36" s="1227"/>
      <c r="AF36" s="1227"/>
      <c r="AG36" s="1227"/>
      <c r="AH36" s="122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7">
        <f>IF(T24&gt;=(T23+Y23+AD23+AI23),T28+Y28,0)</f>
        <v>0</v>
      </c>
      <c r="Z38" s="1297"/>
      <c r="AA38" s="1297"/>
      <c r="AB38" s="1297"/>
      <c r="AC38" s="1297"/>
      <c r="AD38" s="1297">
        <f>IF(T24&gt;=(T23+Y23+AD23+AI23),AD28+AI28,0)</f>
        <v>0</v>
      </c>
      <c r="AE38" s="1297"/>
      <c r="AF38" s="1297"/>
      <c r="AG38" s="1297"/>
      <c r="AH38" s="1297"/>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3">
        <v>0.09</v>
      </c>
      <c r="Z39" s="1963"/>
      <c r="AA39" s="1963"/>
      <c r="AB39" s="1963"/>
      <c r="AC39" s="1963"/>
      <c r="AD39" s="1963">
        <f>'Basis &amp; Credits'!AD39:AH39</f>
        <v>0.04</v>
      </c>
      <c r="AE39" s="1963"/>
      <c r="AF39" s="1963"/>
      <c r="AG39" s="1963"/>
      <c r="AH39" s="1963"/>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7">
        <f>ROUND(Y38*Y39,0)</f>
        <v>0</v>
      </c>
      <c r="Z40" s="1297"/>
      <c r="AA40" s="1297"/>
      <c r="AB40" s="1297"/>
      <c r="AC40" s="1297"/>
      <c r="AD40" s="1596">
        <f>ROUND(AD38*AD39,0)</f>
        <v>0</v>
      </c>
      <c r="AE40" s="1297"/>
      <c r="AF40" s="1297"/>
      <c r="AG40" s="1297"/>
      <c r="AH40" s="1297"/>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2.9"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8">
        <f>'Sources and Uses Budget'!B104-'Sources and Uses Budget'!$B$15</f>
        <v>19824769</v>
      </c>
      <c r="AC46" s="1229"/>
      <c r="AD46" s="1229"/>
      <c r="AE46" s="1229"/>
      <c r="AF46" s="1230"/>
    </row>
    <row r="47" spans="1:40" ht="12.9" customHeight="1">
      <c r="D47" s="3" t="s">
        <v>837</v>
      </c>
      <c r="AB47" s="1228">
        <f>Application!AG633-MIN('Sources and Uses Budget'!B15,Application!AG385)</f>
        <v>0</v>
      </c>
      <c r="AC47" s="1229"/>
      <c r="AD47" s="1229"/>
      <c r="AE47" s="1229"/>
      <c r="AF47" s="1230"/>
    </row>
    <row r="48" spans="1:40" ht="12.9" customHeight="1">
      <c r="D48" s="3" t="s">
        <v>378</v>
      </c>
      <c r="AB48" s="1228">
        <f>AB46-AB47</f>
        <v>19824769</v>
      </c>
      <c r="AC48" s="1229"/>
      <c r="AD48" s="1229"/>
      <c r="AE48" s="1229"/>
      <c r="AF48" s="1230"/>
    </row>
    <row r="49" spans="1:40" ht="12.9" customHeight="1">
      <c r="D49" s="3" t="s">
        <v>872</v>
      </c>
      <c r="AA49" s="34"/>
      <c r="AB49" s="1602"/>
      <c r="AC49" s="1603"/>
      <c r="AD49" s="1603"/>
      <c r="AE49" s="1603"/>
      <c r="AF49" s="1604"/>
    </row>
    <row r="50" spans="1:40" s="323" customFormat="1" ht="12.9"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8">
        <f>ROUND(IF(ISERROR((AB48/AB49)),0,(AB48/AB49)),0)</f>
        <v>0</v>
      </c>
      <c r="AC53" s="1229"/>
      <c r="AD53" s="1229"/>
      <c r="AE53" s="1229"/>
      <c r="AF53" s="1230"/>
    </row>
    <row r="54" spans="1:40" ht="12.9" customHeight="1">
      <c r="D54" s="3" t="s">
        <v>561</v>
      </c>
      <c r="AB54" s="1228">
        <f>(AB53/10)</f>
        <v>0</v>
      </c>
      <c r="AC54" s="1229"/>
      <c r="AD54" s="1229"/>
      <c r="AE54" s="1229"/>
      <c r="AF54" s="1230"/>
    </row>
    <row r="55" spans="1:40" ht="12.9" customHeight="1">
      <c r="D55" s="3" t="s">
        <v>341</v>
      </c>
      <c r="AB55" s="1964">
        <f>(IF((Y41&lt;AB54),Y41,AB54))</f>
        <v>0</v>
      </c>
      <c r="AC55" s="1965"/>
      <c r="AD55" s="1965"/>
      <c r="AE55" s="1965"/>
      <c r="AF55" s="1966"/>
    </row>
    <row r="56" spans="1:40" ht="12.9" customHeight="1">
      <c r="D56" s="3" t="s">
        <v>107</v>
      </c>
      <c r="AB56" s="1228">
        <f>ROUND((10*AB55*AB49),0)</f>
        <v>0</v>
      </c>
      <c r="AC56" s="1229"/>
      <c r="AD56" s="1229"/>
      <c r="AE56" s="1229"/>
      <c r="AF56" s="1230"/>
    </row>
    <row r="57" spans="1:40" ht="12.9" customHeight="1">
      <c r="D57" s="3"/>
      <c r="AB57" s="276"/>
      <c r="AC57" s="276"/>
      <c r="AD57" s="276"/>
      <c r="AE57" s="276"/>
      <c r="AF57" s="276"/>
    </row>
    <row r="58" spans="1:40" ht="12.9" customHeight="1">
      <c r="D58" s="3" t="s">
        <v>106</v>
      </c>
      <c r="AB58" s="1301">
        <f>AB48-AB56</f>
        <v>19824769</v>
      </c>
      <c r="AC58" s="1301"/>
      <c r="AD58" s="1301"/>
      <c r="AE58" s="1301"/>
      <c r="AF58" s="130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5"/>
      <c r="AA63" s="1605"/>
      <c r="AB63" s="1605"/>
      <c r="AC63" s="1605"/>
      <c r="AD63" s="1297">
        <f>AI28</f>
        <v>0</v>
      </c>
      <c r="AE63" s="1605"/>
      <c r="AF63" s="1605"/>
      <c r="AG63" s="1605"/>
      <c r="AH63" s="1605"/>
    </row>
    <row r="64" spans="1:40" ht="12.9"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 customHeight="1">
      <c r="C67" s="3"/>
      <c r="D67" s="3" t="s">
        <v>941</v>
      </c>
      <c r="Y67" s="1297">
        <f>ROUND(Y63*Y66,0)</f>
        <v>0</v>
      </c>
      <c r="Z67" s="1605"/>
      <c r="AA67" s="1605"/>
      <c r="AB67" s="1605"/>
      <c r="AC67" s="1605"/>
      <c r="AD67" s="1297" t="str">
        <f>IF(OR(Application!D211="At-Risk",Application!D211="At-Risk/Located in Rural Census Tract",Application!D214="At-Risk"),ROUND(AD63*AD66,0),"$0")</f>
        <v>$0</v>
      </c>
      <c r="AE67" s="1297"/>
      <c r="AF67" s="1297"/>
      <c r="AG67" s="1297"/>
      <c r="AH67" s="1297"/>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2"/>
      <c r="AC70" s="1603"/>
      <c r="AD70" s="1603"/>
      <c r="AE70" s="1603"/>
      <c r="AF70" s="1604"/>
    </row>
    <row r="71" spans="1:34" ht="12.9" customHeight="1">
      <c r="A71" s="3"/>
      <c r="C71" s="3"/>
      <c r="D71" s="3"/>
      <c r="E71" s="1606" t="s">
        <v>1745</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8">
        <f>ROUND(IF(ISERROR((AB58/AB70)),0,(AB58/AB70)),0)</f>
        <v>0</v>
      </c>
      <c r="AC75" s="1278"/>
      <c r="AD75" s="1278"/>
      <c r="AE75" s="1278"/>
      <c r="AF75" s="1278"/>
    </row>
    <row r="76" spans="1:34" ht="12.9" customHeight="1">
      <c r="C76" s="3"/>
      <c r="D76" s="3" t="s">
        <v>105</v>
      </c>
      <c r="AB76" s="1176">
        <f>IF((Y67+AD67&lt;AB75),Y67+AD67,AB75)</f>
        <v>0</v>
      </c>
      <c r="AC76" s="1177"/>
      <c r="AD76" s="1177"/>
      <c r="AE76" s="1177"/>
      <c r="AF76" s="1178"/>
    </row>
    <row r="77" spans="1:34" ht="12.9" customHeight="1">
      <c r="C77" s="3"/>
      <c r="D77" s="3" t="s">
        <v>942</v>
      </c>
      <c r="AB77" s="1600">
        <f>AB76*AB70</f>
        <v>0</v>
      </c>
      <c r="AC77" s="1600"/>
      <c r="AD77" s="1600"/>
      <c r="AE77" s="1600"/>
      <c r="AF77" s="1600"/>
    </row>
    <row r="78" spans="1:34" ht="12.9" customHeight="1">
      <c r="C78" s="3"/>
      <c r="D78" s="3"/>
      <c r="AB78" s="598"/>
      <c r="AC78" s="598"/>
      <c r="AD78" s="598"/>
      <c r="AE78" s="598"/>
      <c r="AF78" s="598"/>
    </row>
    <row r="79" spans="1:34" ht="12.9" customHeight="1">
      <c r="D79" s="3" t="s">
        <v>106</v>
      </c>
      <c r="AB79" s="1301">
        <f>AB48-(AB56+AB77)</f>
        <v>19824769</v>
      </c>
      <c r="AC79" s="1301"/>
      <c r="AD79" s="1301"/>
      <c r="AE79" s="1301"/>
      <c r="AF79" s="1301"/>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553500</v>
      </c>
      <c r="C5" s="329">
        <f>'Sources and Uses Budget'!C4</f>
        <v>553500</v>
      </c>
      <c r="D5" s="329">
        <f>'Sources and Uses Budget'!C4</f>
        <v>553500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553500</v>
      </c>
      <c r="C9" s="331">
        <f>SUM(C5:C8)</f>
        <v>553500</v>
      </c>
      <c r="D9" s="331">
        <f>SUM(D5:D8)</f>
        <v>553500</v>
      </c>
      <c r="E9" s="331">
        <f t="shared" si="0"/>
        <v>0</v>
      </c>
      <c r="F9" s="330"/>
      <c r="G9" s="330"/>
    </row>
    <row r="10" spans="1:7" s="568" customFormat="1" ht="13.2">
      <c r="A10" s="884" t="s">
        <v>585</v>
      </c>
      <c r="B10" s="329">
        <f>'Sources and Uses Budget'!C9</f>
        <v>2871500</v>
      </c>
      <c r="C10" s="329">
        <f>'Sources and Uses Budget'!C9</f>
        <v>2871500</v>
      </c>
      <c r="D10" s="329">
        <f>'Sources and Uses Budget'!C9</f>
        <v>2871500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2871500</v>
      </c>
      <c r="C12" s="331">
        <f>SUM(C10:C11)</f>
        <v>2871500</v>
      </c>
      <c r="D12" s="331">
        <f>SUM(D10:D11)</f>
        <v>2871500</v>
      </c>
      <c r="E12" s="331">
        <f t="shared" si="0"/>
        <v>0</v>
      </c>
      <c r="F12" s="330"/>
      <c r="G12" s="330"/>
    </row>
    <row r="13" spans="1:7" s="568" customFormat="1" ht="13.2">
      <c r="A13" s="885" t="s">
        <v>711</v>
      </c>
      <c r="B13" s="331">
        <f>SUM(B9+B12)</f>
        <v>3425000</v>
      </c>
      <c r="C13" s="331">
        <f>SUM(C9+C12)</f>
        <v>3425000</v>
      </c>
      <c r="D13" s="331">
        <f>SUM(D9+D12)</f>
        <v>3425000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1200000</v>
      </c>
      <c r="C30" s="329">
        <f>'Sources and Uses Budget'!C29</f>
        <v>1200000</v>
      </c>
      <c r="D30" s="329">
        <f>'Sources and Uses Budget'!C29</f>
        <v>1200000</v>
      </c>
      <c r="E30" s="331">
        <f t="shared" si="0"/>
        <v>0</v>
      </c>
      <c r="F30" s="330"/>
      <c r="G30" s="330"/>
    </row>
    <row r="31" spans="1:7" s="568" customFormat="1" ht="13.2">
      <c r="A31" s="239" t="s">
        <v>911</v>
      </c>
      <c r="B31" s="329">
        <f>'Sources and Uses Budget'!C30</f>
        <v>4804300</v>
      </c>
      <c r="C31" s="329">
        <f>'Sources and Uses Budget'!C30</f>
        <v>4804300</v>
      </c>
      <c r="D31" s="329">
        <f>'Sources and Uses Budget'!C30</f>
        <v>4804300</v>
      </c>
      <c r="E31" s="331">
        <f t="shared" si="0"/>
        <v>0</v>
      </c>
      <c r="F31" s="330"/>
      <c r="G31" s="330"/>
    </row>
    <row r="32" spans="1:7" s="568" customFormat="1" ht="13.2">
      <c r="A32" s="239" t="s">
        <v>912</v>
      </c>
      <c r="B32" s="329">
        <f>'Sources and Uses Budget'!C31</f>
        <v>360258</v>
      </c>
      <c r="C32" s="329">
        <f>'Sources and Uses Budget'!C31</f>
        <v>360258</v>
      </c>
      <c r="D32" s="329">
        <f>'Sources and Uses Budget'!C31</f>
        <v>360258</v>
      </c>
      <c r="E32" s="331">
        <f t="shared" si="0"/>
        <v>0</v>
      </c>
      <c r="F32" s="330"/>
      <c r="G32" s="330"/>
    </row>
    <row r="33" spans="1:7" s="568" customFormat="1" ht="13.2">
      <c r="A33" s="239" t="s">
        <v>913</v>
      </c>
      <c r="B33" s="329">
        <f>'Sources and Uses Budget'!C32</f>
        <v>127291</v>
      </c>
      <c r="C33" s="329">
        <f>'Sources and Uses Budget'!C32</f>
        <v>127291</v>
      </c>
      <c r="D33" s="329">
        <f>'Sources and Uses Budget'!C32</f>
        <v>127291</v>
      </c>
      <c r="E33" s="331">
        <f t="shared" si="0"/>
        <v>0</v>
      </c>
      <c r="F33" s="330"/>
      <c r="G33" s="330"/>
    </row>
    <row r="34" spans="1:7" s="568" customFormat="1" ht="13.2">
      <c r="A34" s="239" t="s">
        <v>914</v>
      </c>
      <c r="B34" s="329">
        <f>'Sources and Uses Budget'!C33</f>
        <v>381873</v>
      </c>
      <c r="C34" s="329">
        <f>'Sources and Uses Budget'!C33</f>
        <v>381873</v>
      </c>
      <c r="D34" s="329">
        <f>'Sources and Uses Budget'!C33</f>
        <v>381873</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206212</v>
      </c>
      <c r="C36" s="329">
        <f>'Sources and Uses Budget'!C35</f>
        <v>206212</v>
      </c>
      <c r="D36" s="329">
        <f>'Sources and Uses Budget'!C35</f>
        <v>206212</v>
      </c>
      <c r="E36" s="331">
        <f t="shared" si="0"/>
        <v>0</v>
      </c>
      <c r="F36" s="330"/>
      <c r="G36" s="330"/>
    </row>
    <row r="37" spans="1:7" s="568" customFormat="1" ht="13.2">
      <c r="A37" s="239" t="s">
        <v>1952</v>
      </c>
      <c r="B37" s="329">
        <f>'Sources and Uses Budget'!C36</f>
        <v>400000</v>
      </c>
      <c r="C37" s="329">
        <f>'Sources and Uses Budget'!C36</f>
        <v>400000</v>
      </c>
      <c r="D37" s="329">
        <f>'Sources and Uses Budget'!C36</f>
        <v>400000</v>
      </c>
      <c r="E37" s="331">
        <f t="shared" si="0"/>
        <v>0</v>
      </c>
      <c r="F37" s="330"/>
      <c r="G37" s="330"/>
    </row>
    <row r="38" spans="1:7" s="568" customFormat="1" ht="13.2">
      <c r="A38" s="250" t="s">
        <v>533</v>
      </c>
      <c r="B38" s="329">
        <f>'Sources and Uses Budget'!C37</f>
        <v>2259396</v>
      </c>
      <c r="C38" s="329">
        <f>'Sources and Uses Budget'!C37</f>
        <v>2259396</v>
      </c>
      <c r="D38" s="329">
        <f>'Sources and Uses Budget'!C37</f>
        <v>2259396</v>
      </c>
      <c r="E38" s="331">
        <f>C38-B38</f>
        <v>0</v>
      </c>
      <c r="F38" s="330"/>
      <c r="G38" s="330"/>
    </row>
    <row r="39" spans="1:7" s="568" customFormat="1" ht="13.2">
      <c r="A39" s="887" t="s">
        <v>919</v>
      </c>
      <c r="B39" s="894">
        <f>'Sources and Uses Budget'!C38</f>
        <v>9739330</v>
      </c>
      <c r="C39" s="894">
        <f>'Sources and Uses Budget'!C38</f>
        <v>9739330</v>
      </c>
      <c r="D39" s="894">
        <f>'Sources and Uses Budget'!C38</f>
        <v>9739330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500000</v>
      </c>
      <c r="C41" s="329">
        <f>'Sources and Uses Budget'!C40</f>
        <v>500000</v>
      </c>
      <c r="D41" s="329">
        <f>'Sources and Uses Budget'!C40</f>
        <v>500000</v>
      </c>
      <c r="E41" s="331">
        <f>C41-B41</f>
        <v>0</v>
      </c>
      <c r="F41" s="330"/>
      <c r="G41" s="330"/>
    </row>
    <row r="42" spans="1:7" s="568" customFormat="1" ht="13.2">
      <c r="A42" s="888" t="s">
        <v>922</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923</v>
      </c>
      <c r="B43" s="894">
        <f>'Sources and Uses Budget'!C42</f>
        <v>600000</v>
      </c>
      <c r="C43" s="894">
        <f>'Sources and Uses Budget'!C42</f>
        <v>600000</v>
      </c>
      <c r="D43" s="894">
        <f>'Sources and Uses Budget'!C42</f>
        <v>600000</v>
      </c>
      <c r="E43" s="331">
        <f>C43-B43</f>
        <v>0</v>
      </c>
      <c r="F43" s="330"/>
      <c r="G43" s="330"/>
    </row>
    <row r="44" spans="1:7" s="568" customFormat="1" ht="13.2">
      <c r="A44" s="887" t="s">
        <v>924</v>
      </c>
      <c r="B44" s="329">
        <f>'Sources and Uses Budget'!C43</f>
        <v>450000</v>
      </c>
      <c r="C44" s="329">
        <f>'Sources and Uses Budget'!C43</f>
        <v>450000</v>
      </c>
      <c r="D44" s="329">
        <f>'Sources and Uses Budget'!C43</f>
        <v>450000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496944</v>
      </c>
      <c r="C46" s="329">
        <f>'Sources and Uses Budget'!C45</f>
        <v>496944</v>
      </c>
      <c r="D46" s="329">
        <f>'Sources and Uses Budget'!C45</f>
        <v>496944</v>
      </c>
      <c r="E46" s="331">
        <f t="shared" si="0"/>
        <v>0</v>
      </c>
      <c r="F46" s="330"/>
      <c r="G46" s="330"/>
    </row>
    <row r="47" spans="1:7" s="568" customFormat="1" ht="13.2">
      <c r="A47" s="239" t="s">
        <v>927</v>
      </c>
      <c r="B47" s="329">
        <f>'Sources and Uses Budget'!C46</f>
        <v>91421</v>
      </c>
      <c r="C47" s="329">
        <f>'Sources and Uses Budget'!C46</f>
        <v>91421</v>
      </c>
      <c r="D47" s="329">
        <f>'Sources and Uses Budget'!C46</f>
        <v>91421</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11070</v>
      </c>
      <c r="C51" s="329">
        <f>'Sources and Uses Budget'!C50</f>
        <v>11070</v>
      </c>
      <c r="D51" s="329">
        <f>'Sources and Uses Budget'!C50</f>
        <v>11070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694435</v>
      </c>
      <c r="C54" s="894">
        <f>'Sources and Uses Budget'!C53</f>
        <v>694435</v>
      </c>
      <c r="D54" s="894">
        <f>'Sources and Uses Budget'!C53</f>
        <v>694435</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14923765</v>
      </c>
      <c r="C63" s="894">
        <f>'Sources and Uses Budget'!C62</f>
        <v>14923765</v>
      </c>
      <c r="D63" s="894">
        <f>'Sources and Uses Budget'!C62</f>
        <v>14923765</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100158</v>
      </c>
      <c r="C75" s="329">
        <f>'Sources and Uses Budget'!C74</f>
        <v>100158</v>
      </c>
      <c r="D75" s="329">
        <f>'Sources and Uses Budget'!C74</f>
        <v>100158</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130158</v>
      </c>
      <c r="C77" s="894">
        <f>'Sources and Uses Budget'!C76</f>
        <v>130158</v>
      </c>
      <c r="D77" s="894">
        <f>'Sources and Uses Budget'!C76</f>
        <v>130158</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881990</v>
      </c>
      <c r="C79" s="329">
        <f>'Sources and Uses Budget'!C78</f>
        <v>881990</v>
      </c>
      <c r="D79" s="329">
        <f>'Sources and Uses Budget'!C78</f>
        <v>881990</v>
      </c>
      <c r="E79" s="331">
        <f t="shared" ref="E79:E105" si="2">C79-B79</f>
        <v>0</v>
      </c>
      <c r="F79" s="330"/>
      <c r="G79" s="330"/>
    </row>
    <row r="80" spans="1:7" s="568" customFormat="1" ht="13.2">
      <c r="A80" s="888" t="s">
        <v>538</v>
      </c>
      <c r="B80" s="329">
        <f>'Sources and Uses Budget'!C79</f>
        <v>125990</v>
      </c>
      <c r="C80" s="329">
        <f>'Sources and Uses Budget'!C79</f>
        <v>125990</v>
      </c>
      <c r="D80" s="329">
        <f>'Sources and Uses Budget'!C79</f>
        <v>125990</v>
      </c>
      <c r="E80" s="331">
        <f t="shared" si="2"/>
        <v>0</v>
      </c>
      <c r="F80" s="330"/>
      <c r="G80" s="330"/>
    </row>
    <row r="81" spans="1:7" s="568" customFormat="1" ht="13.2">
      <c r="A81" s="887" t="s">
        <v>1742</v>
      </c>
      <c r="B81" s="894">
        <f>'Sources and Uses Budget'!C80</f>
        <v>1007980</v>
      </c>
      <c r="C81" s="894">
        <f>'Sources and Uses Budget'!C80</f>
        <v>1007980</v>
      </c>
      <c r="D81" s="894">
        <f>'Sources and Uses Budget'!C80</f>
        <v>1007980</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52969</v>
      </c>
      <c r="C83" s="329">
        <f>'Sources and Uses Budget'!C82</f>
        <v>52969</v>
      </c>
      <c r="D83" s="329">
        <f>'Sources and Uses Budget'!C82</f>
        <v>52969</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1000000</v>
      </c>
      <c r="C86" s="329">
        <f>'Sources and Uses Budget'!C85</f>
        <v>1000000</v>
      </c>
      <c r="D86" s="329">
        <f>'Sources and Uses Budget'!C85</f>
        <v>1000000</v>
      </c>
      <c r="E86" s="331">
        <f t="shared" si="2"/>
        <v>0</v>
      </c>
      <c r="F86" s="330"/>
      <c r="G86" s="330"/>
    </row>
    <row r="87" spans="1:7" s="568" customFormat="1" ht="13.2">
      <c r="A87" s="239" t="s">
        <v>519</v>
      </c>
      <c r="B87" s="329">
        <f>'Sources and Uses Budget'!C86</f>
        <v>40000</v>
      </c>
      <c r="C87" s="329">
        <f>'Sources and Uses Budget'!C86</f>
        <v>40000</v>
      </c>
      <c r="D87" s="329">
        <f>'Sources and Uses Budget'!C86</f>
        <v>40000</v>
      </c>
      <c r="E87" s="331">
        <f t="shared" si="2"/>
        <v>0</v>
      </c>
      <c r="F87" s="330"/>
      <c r="G87" s="330"/>
    </row>
    <row r="88" spans="1:7" s="568" customFormat="1" ht="13.2">
      <c r="A88" s="239" t="s">
        <v>520</v>
      </c>
      <c r="B88" s="329">
        <f>'Sources and Uses Budget'!C87</f>
        <v>45522</v>
      </c>
      <c r="C88" s="329">
        <f>'Sources and Uses Budget'!C87</f>
        <v>45522</v>
      </c>
      <c r="D88" s="329">
        <f>'Sources and Uses Budget'!C87</f>
        <v>45522</v>
      </c>
      <c r="E88" s="331">
        <f t="shared" si="2"/>
        <v>0</v>
      </c>
      <c r="F88" s="330"/>
      <c r="G88" s="330"/>
    </row>
    <row r="89" spans="1:7" s="568" customFormat="1" ht="13.2">
      <c r="A89" s="239" t="s">
        <v>521</v>
      </c>
      <c r="B89" s="329">
        <f>'Sources and Uses Budget'!C88</f>
        <v>40000</v>
      </c>
      <c r="C89" s="329">
        <f>'Sources and Uses Budget'!C88</f>
        <v>40000</v>
      </c>
      <c r="D89" s="329">
        <f>'Sources and Uses Budget'!C88</f>
        <v>40000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10000</v>
      </c>
      <c r="C92" s="329">
        <f>'Sources and Uses Budget'!C91</f>
        <v>10000</v>
      </c>
      <c r="D92" s="329">
        <f>'Sources and Uses Budget'!C91</f>
        <v>10000</v>
      </c>
      <c r="E92" s="331">
        <f t="shared" si="2"/>
        <v>0</v>
      </c>
      <c r="F92" s="330"/>
      <c r="G92" s="330"/>
    </row>
    <row r="93" spans="1:7" s="568" customFormat="1" ht="13.2">
      <c r="A93" s="246" t="s">
        <v>533</v>
      </c>
      <c r="B93" s="329">
        <f>'Sources and Uses Budget'!C92</f>
        <v>43530</v>
      </c>
      <c r="C93" s="329">
        <f>'Sources and Uses Budget'!C92</f>
        <v>43530</v>
      </c>
      <c r="D93" s="329">
        <f>'Sources and Uses Budget'!C92</f>
        <v>43530</v>
      </c>
      <c r="E93" s="331">
        <f t="shared" si="2"/>
        <v>0</v>
      </c>
      <c r="F93" s="330"/>
      <c r="G93" s="330"/>
    </row>
    <row r="94" spans="1:7" s="568" customFormat="1" ht="13.2">
      <c r="A94" s="246" t="s">
        <v>533</v>
      </c>
      <c r="B94" s="329">
        <f>'Sources and Uses Budget'!C93</f>
        <v>194001</v>
      </c>
      <c r="C94" s="329">
        <f>'Sources and Uses Budget'!C93</f>
        <v>194001</v>
      </c>
      <c r="D94" s="329">
        <f>'Sources and Uses Budget'!C93</f>
        <v>194001</v>
      </c>
      <c r="E94" s="331">
        <f t="shared" si="2"/>
        <v>0</v>
      </c>
      <c r="F94" s="330"/>
      <c r="G94" s="330"/>
    </row>
    <row r="95" spans="1:7" s="568" customFormat="1" ht="13.2">
      <c r="A95" s="246" t="s">
        <v>533</v>
      </c>
      <c r="B95" s="329">
        <f>'Sources and Uses Budget'!C94</f>
        <v>100000</v>
      </c>
      <c r="C95" s="329">
        <f>'Sources and Uses Budget'!C94</f>
        <v>100000</v>
      </c>
      <c r="D95" s="329">
        <f>'Sources and Uses Budget'!C94</f>
        <v>100000</v>
      </c>
      <c r="E95" s="331">
        <f t="shared" si="2"/>
        <v>0</v>
      </c>
      <c r="F95" s="330"/>
      <c r="G95" s="330"/>
    </row>
    <row r="96" spans="1:7" s="568" customFormat="1" ht="13.2">
      <c r="A96" s="243" t="s">
        <v>523</v>
      </c>
      <c r="B96" s="894">
        <f>'Sources and Uses Budget'!C95</f>
        <v>1588022</v>
      </c>
      <c r="C96" s="894">
        <f>'Sources and Uses Budget'!C95</f>
        <v>1588022</v>
      </c>
      <c r="D96" s="894">
        <f>'Sources and Uses Budget'!C95</f>
        <v>1588022</v>
      </c>
      <c r="E96" s="331">
        <f t="shared" si="2"/>
        <v>0</v>
      </c>
      <c r="F96" s="330"/>
      <c r="G96" s="330"/>
    </row>
    <row r="97" spans="1:7" s="568" customFormat="1" ht="13.2">
      <c r="A97" s="243" t="s">
        <v>524</v>
      </c>
      <c r="B97" s="894">
        <f>'Sources and Uses Budget'!C96</f>
        <v>17764925</v>
      </c>
      <c r="C97" s="894">
        <f>'Sources and Uses Budget'!C96</f>
        <v>17764925</v>
      </c>
      <c r="D97" s="894">
        <f>'Sources and Uses Budget'!C96</f>
        <v>17764925</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2059844</v>
      </c>
      <c r="C99" s="329">
        <f>'Sources and Uses Budget'!C98</f>
        <v>2059844</v>
      </c>
      <c r="D99" s="329">
        <f>'Sources and Uses Budget'!C98</f>
        <v>2059844</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2059844</v>
      </c>
      <c r="C104" s="894">
        <f>'Sources and Uses Budget'!C103</f>
        <v>2059844</v>
      </c>
      <c r="D104" s="894">
        <f>'Sources and Uses Budget'!C103</f>
        <v>2059844</v>
      </c>
      <c r="E104" s="331">
        <f t="shared" si="2"/>
        <v>0</v>
      </c>
      <c r="F104" s="330"/>
      <c r="G104" s="330"/>
    </row>
    <row r="105" spans="1:7" s="568" customFormat="1" ht="13.2">
      <c r="A105" s="887" t="s">
        <v>529</v>
      </c>
      <c r="B105" s="894">
        <f>'Sources and Uses Budget'!C104</f>
        <v>19824769</v>
      </c>
      <c r="C105" s="894">
        <f>'Sources and Uses Budget'!C104</f>
        <v>19824769</v>
      </c>
      <c r="D105" s="894">
        <f>'Sources and Uses Budget'!C104</f>
        <v>19824769</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79</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79</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79</v>
      </c>
      <c r="D25" s="978" t="s">
        <v>1408</v>
      </c>
      <c r="E25" s="978"/>
      <c r="F25" s="978"/>
    </row>
    <row r="26" spans="1:7" ht="14.4">
      <c r="A26" s="271"/>
      <c r="B26" s="271"/>
      <c r="D26" s="978"/>
      <c r="E26" s="978"/>
      <c r="F26" s="978"/>
    </row>
    <row r="27" spans="1:7" ht="14.4">
      <c r="A27" s="271"/>
      <c r="B27" s="271"/>
      <c r="D27" s="44"/>
    </row>
    <row r="28" spans="1:7" ht="14.25" customHeight="1">
      <c r="A28" s="271"/>
      <c r="B28" s="609" t="s">
        <v>79</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79</v>
      </c>
      <c r="D34" s="978" t="s">
        <v>2135</v>
      </c>
      <c r="E34" s="978"/>
      <c r="F34" s="978"/>
    </row>
    <row r="35" spans="1:6" ht="14.4">
      <c r="A35" s="271"/>
      <c r="B35" s="271"/>
      <c r="D35" s="978"/>
      <c r="E35" s="978"/>
      <c r="F35" s="978"/>
    </row>
    <row r="36" spans="1:6" ht="14.4">
      <c r="A36" s="271"/>
      <c r="B36" s="271"/>
      <c r="D36" s="209"/>
      <c r="E36" s="209"/>
      <c r="F36" s="209"/>
    </row>
    <row r="37" spans="1:6" ht="14.4">
      <c r="A37" s="271"/>
      <c r="B37" s="609" t="s">
        <v>79</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79</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79</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79</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79</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79</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79</v>
      </c>
      <c r="D73" s="978" t="s">
        <v>1542</v>
      </c>
      <c r="E73" s="978"/>
      <c r="F73" s="978"/>
    </row>
    <row r="74" spans="1:6" ht="13.2">
      <c r="D74" s="978"/>
      <c r="E74" s="978"/>
      <c r="F74" s="978"/>
    </row>
    <row r="75" spans="1:6" ht="13.2">
      <c r="D75" s="978"/>
      <c r="E75" s="978"/>
      <c r="F75" s="978"/>
    </row>
    <row r="76" spans="1:6" ht="13.2"/>
    <row r="77" spans="1:6" ht="14.4">
      <c r="A77" s="271" t="s">
        <v>229</v>
      </c>
      <c r="B77" s="609" t="s">
        <v>79</v>
      </c>
      <c r="D77" s="978" t="s">
        <v>1444</v>
      </c>
      <c r="E77" s="978"/>
      <c r="F77" s="978"/>
    </row>
    <row r="78" spans="1:6" ht="13.2">
      <c r="D78" s="978"/>
      <c r="E78" s="978"/>
      <c r="F78" s="978"/>
    </row>
    <row r="79" spans="1:6" ht="13.2"/>
    <row r="80" spans="1:6" ht="14.4">
      <c r="A80" s="271" t="s">
        <v>229</v>
      </c>
      <c r="B80" s="609" t="s">
        <v>79</v>
      </c>
      <c r="D80" s="978" t="s">
        <v>1445</v>
      </c>
      <c r="E80" s="978"/>
      <c r="F80" s="978"/>
    </row>
    <row r="81" spans="1:7" ht="13.2">
      <c r="D81" s="978"/>
      <c r="E81" s="978"/>
      <c r="F81" s="978"/>
    </row>
    <row r="82" spans="1:7" ht="13.2">
      <c r="D82" s="978"/>
      <c r="E82" s="978"/>
      <c r="F82" s="978"/>
    </row>
    <row r="83" spans="1:7" ht="13.2">
      <c r="D83" s="44"/>
    </row>
    <row r="84" spans="1:7" ht="14.4">
      <c r="A84" s="271" t="s">
        <v>229</v>
      </c>
      <c r="B84" s="609" t="s">
        <v>79</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79</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79</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79</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79</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79</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79</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79</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79</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79</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79</v>
      </c>
      <c r="D181" s="1001" t="s">
        <v>1733</v>
      </c>
      <c r="E181" s="1002"/>
      <c r="F181" s="1002"/>
    </row>
    <row r="182" spans="1:6" ht="14.4">
      <c r="A182" s="271"/>
      <c r="D182" s="312"/>
      <c r="E182" s="102"/>
      <c r="F182" s="102"/>
    </row>
    <row r="183" spans="1:6" ht="14.4">
      <c r="A183" s="271"/>
      <c r="B183" s="609" t="s">
        <v>79</v>
      </c>
      <c r="D183" s="1002" t="s">
        <v>1550</v>
      </c>
      <c r="E183" s="1002"/>
      <c r="F183" s="1002"/>
    </row>
    <row r="184" spans="1:6" ht="14.4">
      <c r="A184" s="271"/>
      <c r="D184" s="102"/>
      <c r="E184" s="102"/>
      <c r="F184" s="102"/>
    </row>
    <row r="185" spans="1:6" ht="14.4">
      <c r="A185" s="271"/>
      <c r="B185" s="609" t="s">
        <v>79</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79</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79</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79</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79</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79</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79</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79</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79</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79</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79</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79</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79</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79</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79</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79</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79</v>
      </c>
      <c r="D318" s="978" t="s">
        <v>1564</v>
      </c>
      <c r="E318" s="978"/>
      <c r="F318" s="978"/>
    </row>
    <row r="319" spans="1:7" ht="14.4">
      <c r="A319" s="271"/>
      <c r="B319" s="271"/>
      <c r="D319" s="978"/>
      <c r="E319" s="978"/>
      <c r="F319" s="978"/>
    </row>
    <row r="320" spans="1:7" ht="13.2"/>
    <row r="321" spans="1:7" ht="14.4" customHeight="1">
      <c r="A321" s="271"/>
      <c r="B321" s="609" t="s">
        <v>79</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79</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79</v>
      </c>
      <c r="D333" s="998" t="s">
        <v>1567</v>
      </c>
      <c r="E333" s="998"/>
      <c r="F333" s="998"/>
      <c r="G333"/>
    </row>
    <row r="334" spans="1:7" ht="14.4">
      <c r="A334" s="271"/>
      <c r="B334" s="271"/>
      <c r="D334" s="420"/>
      <c r="G334"/>
    </row>
    <row r="335" spans="1:7" ht="14.4">
      <c r="A335" s="271"/>
      <c r="B335" s="609" t="s">
        <v>79</v>
      </c>
      <c r="D335" s="998" t="s">
        <v>1568</v>
      </c>
      <c r="E335" s="998"/>
      <c r="F335" s="998"/>
      <c r="G335"/>
    </row>
    <row r="336" spans="1:7" ht="13.2">
      <c r="G336"/>
    </row>
    <row r="337" spans="1:7" ht="14.4" customHeight="1">
      <c r="A337" s="271"/>
      <c r="B337" s="609" t="s">
        <v>79</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79</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79</v>
      </c>
      <c r="C373" s="361"/>
      <c r="D373" s="1008" t="s">
        <v>2139</v>
      </c>
      <c r="E373" s="1008"/>
      <c r="F373" s="1008"/>
    </row>
    <row r="374" spans="1:6" ht="14.4">
      <c r="A374" s="271"/>
      <c r="B374" s="271"/>
      <c r="C374" s="361"/>
      <c r="D374" s="420"/>
    </row>
    <row r="375" spans="1:6" ht="14.4">
      <c r="A375" s="271"/>
      <c r="B375" s="609" t="s">
        <v>79</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79</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79</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79</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79</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79</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79</v>
      </c>
      <c r="C466" s="207"/>
      <c r="D466" s="997" t="s">
        <v>2078</v>
      </c>
      <c r="E466" s="998"/>
      <c r="F466" s="998"/>
    </row>
    <row r="467" spans="1:6" ht="13.2">
      <c r="D467"/>
      <c r="E467" s="928" t="s">
        <v>2077</v>
      </c>
      <c r="F467" s="928"/>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79</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79</v>
      </c>
      <c r="C475" s="271"/>
      <c r="D475" s="972" t="s">
        <v>1718</v>
      </c>
      <c r="E475" s="978"/>
      <c r="F475" s="978"/>
    </row>
    <row r="476" spans="1:6" ht="13.2">
      <c r="D476" s="978"/>
      <c r="E476" s="978"/>
      <c r="F476" s="978"/>
    </row>
    <row r="477" spans="1:6" ht="13.2">
      <c r="D477" s="44"/>
      <c r="E477" s="44"/>
    </row>
    <row r="478" spans="1:6" ht="14.4">
      <c r="B478" s="609" t="s">
        <v>79</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79</v>
      </c>
      <c r="D482" s="978"/>
      <c r="E482" s="978"/>
      <c r="F482" s="978"/>
    </row>
    <row r="483" spans="2:6" ht="13.2">
      <c r="D483" s="978"/>
      <c r="E483" s="978"/>
      <c r="F483" s="978"/>
    </row>
    <row r="484" spans="2:6" ht="13.2">
      <c r="D484" s="978"/>
      <c r="E484" s="978"/>
      <c r="F484" s="978"/>
    </row>
    <row r="485" spans="2:6" ht="13.2">
      <c r="B485" s="609" t="s">
        <v>79</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79</v>
      </c>
      <c r="D489" s="978"/>
      <c r="E489" s="978"/>
      <c r="F489" s="978"/>
    </row>
    <row r="490" spans="2:6" ht="13.2">
      <c r="D490" s="978"/>
      <c r="E490" s="978"/>
      <c r="F490" s="978"/>
    </row>
    <row r="491" spans="2:6" ht="13.2">
      <c r="B491" s="609" t="s">
        <v>79</v>
      </c>
      <c r="D491" s="978"/>
      <c r="E491" s="978"/>
      <c r="F491" s="978"/>
    </row>
    <row r="492" spans="2:6" ht="13.2">
      <c r="D492" s="978"/>
      <c r="E492" s="978"/>
      <c r="F492" s="978"/>
    </row>
    <row r="493" spans="2:6" ht="13.65" customHeight="1">
      <c r="B493" s="609" t="s">
        <v>79</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79</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79</v>
      </c>
      <c r="D506" s="996" t="s">
        <v>1579</v>
      </c>
      <c r="E506" s="996"/>
      <c r="F506" s="996"/>
    </row>
    <row r="507" spans="1:7" ht="14.4">
      <c r="A507" s="271"/>
      <c r="B507" s="271"/>
      <c r="D507" s="996"/>
      <c r="E507" s="996"/>
      <c r="F507" s="996"/>
    </row>
    <row r="508" spans="1:7" ht="14.4">
      <c r="A508" s="271"/>
      <c r="B508" s="271"/>
      <c r="D508" s="44"/>
    </row>
    <row r="509" spans="1:7" ht="14.4">
      <c r="A509" s="271"/>
      <c r="B509" s="609" t="s">
        <v>79</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79</v>
      </c>
      <c r="D514" s="998" t="s">
        <v>1581</v>
      </c>
      <c r="E514" s="998"/>
      <c r="F514" s="998"/>
      <c r="G514"/>
    </row>
    <row r="515" spans="1:7" ht="13.2">
      <c r="D515" s="44"/>
      <c r="G515"/>
    </row>
    <row r="516" spans="1:7" ht="14.4">
      <c r="A516" s="271"/>
      <c r="B516" s="609" t="s">
        <v>79</v>
      </c>
      <c r="D516" s="978" t="s">
        <v>1582</v>
      </c>
      <c r="E516" s="978"/>
      <c r="F516" s="978"/>
      <c r="G516"/>
    </row>
    <row r="517" spans="1:7" ht="13.2">
      <c r="D517" s="978"/>
      <c r="E517" s="978"/>
      <c r="F517" s="978"/>
      <c r="G517"/>
    </row>
    <row r="518" spans="1:7" ht="13.2">
      <c r="D518" s="420"/>
      <c r="G518"/>
    </row>
    <row r="519" spans="1:7" ht="14.4">
      <c r="A519" s="271"/>
      <c r="B519" s="609" t="s">
        <v>79</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79</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79</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79</v>
      </c>
      <c r="D541" s="978" t="s">
        <v>1551</v>
      </c>
      <c r="E541" s="978"/>
      <c r="F541" s="978"/>
    </row>
    <row r="542" spans="1:7" ht="13.2">
      <c r="D542" s="978"/>
      <c r="E542" s="978"/>
      <c r="F542" s="978"/>
    </row>
    <row r="543" spans="1:7" ht="12" customHeight="1">
      <c r="A543" s="207"/>
      <c r="B543" s="207"/>
      <c r="C543" s="207"/>
      <c r="D543" s="44"/>
    </row>
    <row r="544" spans="1:7" ht="14.4">
      <c r="A544" s="271"/>
      <c r="B544" s="609" t="s">
        <v>79</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79</v>
      </c>
      <c r="C552" s="207"/>
      <c r="D552" s="998" t="s">
        <v>1113</v>
      </c>
      <c r="E552" s="998"/>
      <c r="F552" s="998"/>
    </row>
    <row r="553" spans="1:7" ht="12" customHeight="1">
      <c r="A553" s="207"/>
      <c r="B553" s="207"/>
      <c r="C553" s="207"/>
      <c r="D553" s="44"/>
      <c r="E553"/>
      <c r="F553"/>
      <c r="G553"/>
    </row>
    <row r="554" spans="1:7" ht="14.4" customHeight="1">
      <c r="A554" s="271"/>
      <c r="B554" s="609" t="s">
        <v>79</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79</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79</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79</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79</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79</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79</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79</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79</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79</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79</v>
      </c>
      <c r="D604" s="1006" t="s">
        <v>1114</v>
      </c>
      <c r="E604" s="1006"/>
      <c r="F604" s="1006"/>
    </row>
    <row r="605" spans="1:7" ht="13.2">
      <c r="A605" s="18"/>
      <c r="B605" s="18"/>
      <c r="D605" s="361"/>
    </row>
    <row r="606" spans="1:7" ht="14.4" customHeight="1">
      <c r="A606" s="271"/>
      <c r="B606" s="609" t="s">
        <v>79</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79</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79</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79</v>
      </c>
      <c r="D618" s="1006" t="s">
        <v>1447</v>
      </c>
      <c r="E618" s="1006"/>
      <c r="F618" s="1006"/>
    </row>
    <row r="619" spans="1:7" ht="14.4">
      <c r="A619" s="271"/>
      <c r="B619" s="271"/>
      <c r="D619" s="1006"/>
      <c r="E619" s="1006"/>
      <c r="F619" s="1006"/>
    </row>
    <row r="620" spans="1:7" ht="14.4">
      <c r="A620" s="271"/>
      <c r="B620" s="271"/>
      <c r="D620" s="371"/>
    </row>
    <row r="621" spans="1:7" ht="14.4">
      <c r="A621" s="271"/>
      <c r="B621" s="609" t="s">
        <v>79</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79</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79</v>
      </c>
      <c r="D638" s="1002" t="s">
        <v>1554</v>
      </c>
      <c r="E638" s="1002"/>
      <c r="F638" s="1002"/>
    </row>
    <row r="639" spans="1:7" ht="14.4">
      <c r="A639" s="271"/>
      <c r="B639" s="271"/>
      <c r="D639" s="44"/>
    </row>
    <row r="640" spans="1:7" ht="14.4">
      <c r="A640" s="271"/>
      <c r="B640" s="609" t="s">
        <v>79</v>
      </c>
      <c r="D640" s="978" t="s">
        <v>1555</v>
      </c>
      <c r="E640" s="978"/>
      <c r="F640" s="978"/>
    </row>
    <row r="641" spans="1:7" ht="14.4">
      <c r="A641" s="271"/>
      <c r="B641" s="271"/>
      <c r="D641" s="978"/>
      <c r="E641" s="978"/>
      <c r="F641" s="978"/>
    </row>
    <row r="642" spans="1:7" ht="14.4">
      <c r="A642" s="271"/>
      <c r="B642" s="271"/>
      <c r="D642" s="44"/>
    </row>
    <row r="643" spans="1:7" ht="14.4">
      <c r="A643" s="271"/>
      <c r="B643" s="609" t="s">
        <v>79</v>
      </c>
      <c r="D643" s="972" t="s">
        <v>1921</v>
      </c>
      <c r="E643" s="972"/>
      <c r="F643" s="972"/>
    </row>
    <row r="644" spans="1:7" ht="13.65" customHeight="1">
      <c r="D644" s="972"/>
      <c r="E644" s="972"/>
      <c r="F644" s="972"/>
    </row>
    <row r="645" spans="1:7" ht="13.2"/>
    <row r="646" spans="1:7" ht="14.4">
      <c r="A646" s="271"/>
      <c r="B646" s="609" t="s">
        <v>79</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79</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79</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79</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79</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79</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79</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79</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79</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79</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79</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79</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79</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79</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79</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79</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79</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79</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79</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79</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79</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79</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79</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79</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79</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79</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79</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79</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79</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79</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79</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79</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79</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79</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79</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79</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79</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79</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79</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79</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79</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79</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79</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79</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79</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79</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79</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79</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79</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79</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79</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79</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79</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79</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79</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79</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79</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79</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79</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79</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79</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79</v>
      </c>
      <c r="D1129" s="978" t="s">
        <v>1663</v>
      </c>
      <c r="E1129" s="978"/>
      <c r="F1129" s="978"/>
    </row>
    <row r="1130" spans="1:7" ht="13.2">
      <c r="D1130" s="978"/>
      <c r="E1130" s="978"/>
      <c r="F1130" s="978"/>
    </row>
    <row r="1131" spans="1:7" ht="13.2"/>
    <row r="1132" spans="1:7" ht="14.4">
      <c r="A1132" s="271"/>
      <c r="B1132" s="609" t="s">
        <v>79</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79</v>
      </c>
      <c r="D1137" s="998" t="s">
        <v>1665</v>
      </c>
      <c r="E1137" s="998"/>
      <c r="F1137" s="998"/>
    </row>
    <row r="1138" spans="1:7" ht="13.2"/>
    <row r="1139" spans="1:7" ht="14.4">
      <c r="A1139" s="271"/>
      <c r="B1139" s="609" t="s">
        <v>79</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79</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79</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79</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79</v>
      </c>
      <c r="D1180" s="998" t="s">
        <v>1668</v>
      </c>
      <c r="E1180" s="998"/>
      <c r="F1180" s="998"/>
      <c r="G1180"/>
    </row>
    <row r="1181" spans="1:7" ht="13.2">
      <c r="G1181"/>
    </row>
    <row r="1182" spans="1:7" ht="14.4">
      <c r="A1182" s="271"/>
      <c r="B1182" s="609" t="s">
        <v>79</v>
      </c>
      <c r="D1182" s="998" t="s">
        <v>1669</v>
      </c>
      <c r="E1182" s="998"/>
      <c r="F1182" s="998"/>
      <c r="G1182"/>
    </row>
    <row r="1183" spans="1:7" ht="13.2">
      <c r="D1183" s="44"/>
      <c r="G1183"/>
    </row>
    <row r="1184" spans="1:7" ht="14.4">
      <c r="A1184" s="271"/>
      <c r="B1184" s="609" t="s">
        <v>79</v>
      </c>
      <c r="D1184" s="998" t="s">
        <v>1670</v>
      </c>
      <c r="E1184" s="998"/>
      <c r="F1184" s="998"/>
      <c r="G1184"/>
    </row>
    <row r="1185" spans="1:7" ht="13.2">
      <c r="D1185" s="44"/>
      <c r="G1185"/>
    </row>
    <row r="1186" spans="1:7" ht="14.4">
      <c r="A1186" s="271"/>
      <c r="B1186" s="609" t="s">
        <v>79</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79</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79</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79</v>
      </c>
      <c r="D1194" s="998" t="s">
        <v>1674</v>
      </c>
      <c r="E1194" s="998"/>
      <c r="F1194" s="998"/>
    </row>
    <row r="1195" spans="1:7" ht="14.4">
      <c r="A1195" s="271"/>
      <c r="B1195" s="271"/>
      <c r="D1195" s="44"/>
    </row>
    <row r="1196" spans="1:7" ht="14.4">
      <c r="A1196" s="271"/>
      <c r="B1196" s="609" t="s">
        <v>79</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79</v>
      </c>
      <c r="D1207" s="1031" t="s">
        <v>1513</v>
      </c>
      <c r="E1207" s="1031"/>
      <c r="F1207" s="1031"/>
    </row>
    <row r="1208" spans="1:7" ht="13.2">
      <c r="D1208" s="1030" t="s">
        <v>1917</v>
      </c>
      <c r="E1208" s="1030"/>
      <c r="F1208" s="1030"/>
    </row>
    <row r="1209" spans="1:7" ht="13.2">
      <c r="G1209"/>
    </row>
    <row r="1210" spans="1:7" ht="12.75" customHeight="1">
      <c r="B1210" s="609" t="s">
        <v>79</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79</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79</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79</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79</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79</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30" zoomScaleNormal="130" workbookViewId="0">
      <selection sqref="A1:AT122"/>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2300</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2320</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4" t="s">
        <v>2321</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 customHeight="1"/>
    <row r="17" spans="1:46" ht="12.9" customHeight="1">
      <c r="A17" s="63" t="s">
        <v>793</v>
      </c>
      <c r="C17" s="5"/>
      <c r="D17" s="5"/>
      <c r="E17" s="5"/>
      <c r="F17" s="5"/>
      <c r="G17" s="5"/>
      <c r="H17" s="1317" t="s">
        <v>2322</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8" t="s">
        <v>1352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1">
        <f>ROUND('Basis &amp; Credits'!AB55,0)</f>
        <v>1224237</v>
      </c>
      <c r="N25" s="1421"/>
      <c r="O25" s="1421"/>
      <c r="P25" s="1421"/>
      <c r="Q25" s="1421"/>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1">
        <f>'Basis &amp; Credits'!AB76</f>
        <v>0</v>
      </c>
      <c r="N27" s="1421"/>
      <c r="O27" s="1421"/>
      <c r="P27" s="1421"/>
      <c r="Q27" s="1421"/>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16" t="s">
        <v>482</v>
      </c>
      <c r="P33" s="1116"/>
      <c r="Q33" s="1065" t="s">
        <v>2252</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4">
        <v>1</v>
      </c>
      <c r="H115" s="1114"/>
      <c r="I115" s="41" t="s">
        <v>412</v>
      </c>
      <c r="J115" s="41"/>
      <c r="L115" s="1344" t="s">
        <v>2384</v>
      </c>
      <c r="M115" s="1345"/>
      <c r="N115" s="1345"/>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4" t="s">
        <v>2329</v>
      </c>
      <c r="D117" s="1345"/>
      <c r="E117" s="1345"/>
      <c r="F117" s="1345"/>
      <c r="G117" s="1345"/>
      <c r="H117" s="1345"/>
      <c r="I117" s="1345"/>
      <c r="J117" s="1345"/>
      <c r="K117" s="1345"/>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7" t="s">
        <v>2331</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7" t="s">
        <v>2385</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17" t="s">
        <v>2386</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147" t="s">
        <v>2387</v>
      </c>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t="s">
        <v>709</v>
      </c>
      <c r="BN157" s="30" t="s">
        <v>422</v>
      </c>
      <c r="BT157" t="s">
        <v>28</v>
      </c>
    </row>
    <row r="158" spans="1:72" ht="12.9" customHeight="1">
      <c r="D158" s="12" t="s">
        <v>544</v>
      </c>
      <c r="F158" s="12"/>
      <c r="G158" s="12"/>
      <c r="H158" s="12"/>
      <c r="I158" s="12"/>
      <c r="J158" s="12"/>
      <c r="K158" s="12"/>
      <c r="L158" s="12"/>
      <c r="M158" s="12"/>
      <c r="N158" s="12"/>
      <c r="O158" s="1342" t="s">
        <v>545</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423</v>
      </c>
      <c r="BT158" t="s">
        <v>29</v>
      </c>
    </row>
    <row r="159" spans="1:72" ht="12.9" customHeight="1">
      <c r="D159" t="s">
        <v>647</v>
      </c>
      <c r="O159" s="1056" t="s">
        <v>2388</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317" t="s">
        <v>805</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31">
        <v>95060</v>
      </c>
      <c r="P161" s="1331"/>
      <c r="Q161" s="1331"/>
      <c r="R161" s="1331"/>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20" t="s">
        <v>2389</v>
      </c>
      <c r="P162" s="1320"/>
      <c r="Q162" s="1320"/>
      <c r="R162" s="1320"/>
      <c r="S162" s="1320"/>
      <c r="T162" s="1320"/>
      <c r="V162" s="179" t="s">
        <v>12</v>
      </c>
      <c r="W162" s="1332"/>
      <c r="X162" s="1332"/>
      <c r="Y162" s="14"/>
      <c r="Z162" s="14"/>
      <c r="AA162" s="14"/>
      <c r="AB162" s="14"/>
      <c r="AC162" s="14"/>
      <c r="AD162" s="14"/>
      <c r="AE162" s="14"/>
      <c r="AF162" s="14"/>
      <c r="BJ162" t="s">
        <v>108</v>
      </c>
      <c r="BN162" s="30" t="s">
        <v>77</v>
      </c>
      <c r="BT162" t="s">
        <v>387</v>
      </c>
    </row>
    <row r="163" spans="1:72" ht="12.9" customHeight="1">
      <c r="D163" t="s">
        <v>651</v>
      </c>
      <c r="O163" s="1320" t="s">
        <v>2390</v>
      </c>
      <c r="P163" s="1320"/>
      <c r="Q163" s="1320"/>
      <c r="R163" s="1320"/>
      <c r="S163" s="1320"/>
      <c r="T163" s="1320"/>
      <c r="U163" s="14"/>
      <c r="V163" s="14"/>
      <c r="W163" s="14"/>
      <c r="X163" s="14"/>
      <c r="Y163" s="14"/>
      <c r="Z163" s="14"/>
      <c r="AA163" s="14"/>
      <c r="AB163" s="14"/>
      <c r="AC163" s="14"/>
      <c r="AD163" s="14"/>
      <c r="AE163" s="14"/>
      <c r="AF163" s="14"/>
      <c r="BN163" s="30" t="s">
        <v>476</v>
      </c>
      <c r="BT163" t="s">
        <v>388</v>
      </c>
    </row>
    <row r="164" spans="1:72" ht="12.9" customHeight="1">
      <c r="D164" t="s">
        <v>652</v>
      </c>
      <c r="O164" s="1061" t="s">
        <v>2395</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9" t="s">
        <v>2305</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2.9" customHeight="1">
      <c r="C174" s="31"/>
      <c r="D174" t="s">
        <v>438</v>
      </c>
      <c r="U174" s="1116" t="s">
        <v>482</v>
      </c>
      <c r="V174" s="1116"/>
      <c r="BN174" s="30" t="s">
        <v>594</v>
      </c>
      <c r="BT174" t="s">
        <v>399</v>
      </c>
    </row>
    <row r="175" spans="1:72" ht="12.9" customHeight="1">
      <c r="C175" s="12"/>
      <c r="D175" s="33"/>
      <c r="E175" t="s">
        <v>230</v>
      </c>
      <c r="O175" s="34"/>
      <c r="P175" t="s">
        <v>2104</v>
      </c>
      <c r="T175" s="34" t="s">
        <v>231</v>
      </c>
      <c r="U175" s="1101"/>
      <c r="V175" s="1101"/>
      <c r="W175" s="1" t="s">
        <v>232</v>
      </c>
      <c r="X175" s="1346"/>
      <c r="Y175" s="1346"/>
      <c r="BN175" s="30" t="s">
        <v>595</v>
      </c>
      <c r="BT175" t="s">
        <v>400</v>
      </c>
    </row>
    <row r="176" spans="1:72" ht="12.9" customHeight="1">
      <c r="C176" s="31"/>
      <c r="D176" t="s">
        <v>279</v>
      </c>
      <c r="U176" s="1116" t="s">
        <v>482</v>
      </c>
      <c r="V176" s="1116"/>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5"/>
      <c r="K178" s="1335"/>
      <c r="L178" s="370" t="s">
        <v>232</v>
      </c>
      <c r="M178" s="1113"/>
      <c r="N178" s="1113"/>
      <c r="O178" s="361"/>
      <c r="P178" s="361"/>
      <c r="Q178" s="361"/>
      <c r="R178" s="361"/>
      <c r="U178" s="361" t="s">
        <v>1233</v>
      </c>
      <c r="V178" s="361"/>
      <c r="W178" s="361"/>
      <c r="X178" s="361"/>
      <c r="Y178" s="361"/>
      <c r="Z178" s="361"/>
      <c r="AA178" s="361"/>
      <c r="AB178" s="361"/>
      <c r="AD178" s="1336"/>
      <c r="AE178" s="1336"/>
      <c r="AF178" s="1336"/>
      <c r="AG178" s="1336"/>
      <c r="AH178" s="1336"/>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6" t="s">
        <v>482</v>
      </c>
      <c r="Z180" s="1321"/>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6" t="str">
        <f>H17</f>
        <v xml:space="preserve">Santa Cruz Veterans Village </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2.9" customHeight="1">
      <c r="C185" s="29"/>
      <c r="D185" t="s">
        <v>429</v>
      </c>
      <c r="I185" s="1147" t="s">
        <v>2335</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2.9"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2.9" customHeight="1">
      <c r="C189" s="29"/>
      <c r="D189" t="s">
        <v>430</v>
      </c>
      <c r="I189" s="1317" t="s">
        <v>2336</v>
      </c>
      <c r="J189" s="1056"/>
      <c r="K189" s="1056"/>
      <c r="L189" s="1056"/>
      <c r="M189" s="1056"/>
      <c r="N189" s="1056"/>
      <c r="O189" s="1056"/>
      <c r="P189" s="1056"/>
      <c r="Q189" t="s">
        <v>432</v>
      </c>
      <c r="T189" s="1056" t="s">
        <v>805</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95005</v>
      </c>
      <c r="J190" s="1054"/>
      <c r="K190" s="1054"/>
      <c r="L190" s="1054"/>
      <c r="M190" s="1054"/>
      <c r="N190" s="1054"/>
      <c r="O190" t="s">
        <v>435</v>
      </c>
      <c r="T190" s="1333">
        <v>1203.02</v>
      </c>
      <c r="U190" s="1333"/>
      <c r="V190" s="1333"/>
      <c r="W190" s="1333"/>
      <c r="X190" s="1333"/>
      <c r="Y190" s="1333"/>
      <c r="Z190" s="1333"/>
      <c r="AA190" s="1333"/>
      <c r="AB190" s="1333"/>
      <c r="AC190" s="1333"/>
      <c r="AD190" s="1333"/>
      <c r="AE190" s="1333"/>
      <c r="BC190" t="s">
        <v>663</v>
      </c>
      <c r="BH190" t="s">
        <v>663</v>
      </c>
      <c r="BN190" s="30" t="s">
        <v>421</v>
      </c>
      <c r="BT190" t="s">
        <v>110</v>
      </c>
    </row>
    <row r="191" spans="1:72" ht="12.9" customHeight="1">
      <c r="C191" s="29"/>
      <c r="D191" t="s">
        <v>81</v>
      </c>
      <c r="N191" s="1420" t="s">
        <v>2337</v>
      </c>
      <c r="O191" s="1337"/>
      <c r="P191" s="1337"/>
      <c r="Q191" s="1337"/>
      <c r="R191" s="1337"/>
      <c r="S191" s="1337"/>
      <c r="T191" s="1337"/>
      <c r="U191" s="1337"/>
      <c r="V191" s="1337"/>
      <c r="W191" s="1337"/>
      <c r="X191" s="1337"/>
      <c r="Y191" s="1337"/>
      <c r="Z191" s="1337"/>
      <c r="AA191" s="1337"/>
      <c r="AB191" s="1337"/>
      <c r="AC191" s="1337"/>
      <c r="AD191" s="1337"/>
      <c r="AE191" s="1337"/>
      <c r="BC191" t="s">
        <v>1424</v>
      </c>
      <c r="BH191" t="s">
        <v>1424</v>
      </c>
      <c r="BN191" s="30" t="s">
        <v>582</v>
      </c>
      <c r="BT191" t="s">
        <v>111</v>
      </c>
    </row>
    <row r="192" spans="1:72" ht="12.9"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112</v>
      </c>
    </row>
    <row r="193" spans="1:73" ht="12.9" customHeight="1">
      <c r="C193" s="29"/>
      <c r="D193" t="s">
        <v>436</v>
      </c>
      <c r="T193" s="1116" t="s">
        <v>108</v>
      </c>
      <c r="U193" s="1116"/>
      <c r="W193" s="41" t="s">
        <v>1886</v>
      </c>
      <c r="AA193" s="1326">
        <v>2024</v>
      </c>
      <c r="AB193" s="1326"/>
      <c r="AC193" s="1326"/>
      <c r="BC193" t="s">
        <v>564</v>
      </c>
      <c r="BH193" s="5" t="s">
        <v>1429</v>
      </c>
      <c r="BN193" s="30" t="s">
        <v>584</v>
      </c>
      <c r="BT193" t="s">
        <v>113</v>
      </c>
    </row>
    <row r="194" spans="1:73" ht="12.9" customHeight="1">
      <c r="C194" s="29"/>
      <c r="D194" t="s">
        <v>118</v>
      </c>
      <c r="T194" s="1143" t="s">
        <v>482</v>
      </c>
      <c r="U194" s="1143"/>
      <c r="W194" t="s">
        <v>63</v>
      </c>
      <c r="AI194" s="1116" t="s">
        <v>482</v>
      </c>
      <c r="AJ194" s="1116"/>
      <c r="AX194" s="5" t="s">
        <v>124</v>
      </c>
      <c r="BC194" t="s">
        <v>615</v>
      </c>
      <c r="BN194" s="30" t="s">
        <v>753</v>
      </c>
      <c r="BT194" t="s">
        <v>114</v>
      </c>
    </row>
    <row r="195" spans="1:73" ht="12.9" customHeight="1">
      <c r="C195" s="29"/>
      <c r="D195" s="41" t="s">
        <v>1734</v>
      </c>
      <c r="T195" s="1143" t="s">
        <v>482</v>
      </c>
      <c r="U195" s="1143"/>
      <c r="X195" s="797" t="s">
        <v>2106</v>
      </c>
      <c r="AX195" s="5" t="s">
        <v>1150</v>
      </c>
      <c r="BN195" s="30" t="s">
        <v>754</v>
      </c>
      <c r="BT195" t="s">
        <v>115</v>
      </c>
    </row>
    <row r="196" spans="1:73" ht="12.9" customHeight="1">
      <c r="C196" s="29"/>
      <c r="D196" s="5" t="s">
        <v>1155</v>
      </c>
      <c r="T196" s="1143" t="s">
        <v>482</v>
      </c>
      <c r="U196" s="1143"/>
      <c r="AK196" s="1325"/>
      <c r="AL196" s="1325"/>
      <c r="AX196" s="41" t="s">
        <v>2199</v>
      </c>
      <c r="BN196" s="30" t="s">
        <v>755</v>
      </c>
      <c r="BT196" t="s">
        <v>116</v>
      </c>
    </row>
    <row r="197" spans="1:73" ht="12.9" customHeight="1">
      <c r="C197" s="29"/>
      <c r="D197" s="41" t="s">
        <v>1887</v>
      </c>
      <c r="T197" s="1116" t="s">
        <v>482</v>
      </c>
      <c r="U197" s="1116"/>
      <c r="AX197" s="5" t="s">
        <v>1151</v>
      </c>
      <c r="BC197" t="s">
        <v>79</v>
      </c>
      <c r="BN197" s="30" t="s">
        <v>756</v>
      </c>
      <c r="BT197" t="s">
        <v>117</v>
      </c>
    </row>
    <row r="198" spans="1:73" ht="12.9" customHeight="1">
      <c r="C198" s="29"/>
      <c r="D198" s="41" t="s">
        <v>1915</v>
      </c>
      <c r="W198" s="1322" t="s">
        <v>482</v>
      </c>
      <c r="X198" s="1116"/>
      <c r="AX198" s="5" t="s">
        <v>1152</v>
      </c>
      <c r="BC198" t="s">
        <v>1103</v>
      </c>
      <c r="BN198" s="30" t="s">
        <v>757</v>
      </c>
      <c r="BT198" t="s">
        <v>803</v>
      </c>
    </row>
    <row r="199" spans="1:73" ht="12.9" customHeight="1">
      <c r="C199" s="29"/>
      <c r="L199" s="309"/>
      <c r="M199" s="309"/>
      <c r="N199" s="309"/>
      <c r="O199" s="309"/>
      <c r="P199" s="309"/>
      <c r="Q199" s="922" t="s">
        <v>2107</v>
      </c>
      <c r="R199" s="1317" t="s">
        <v>2020</v>
      </c>
      <c r="S199" s="1317"/>
      <c r="T199" s="1317"/>
      <c r="U199" s="1317"/>
      <c r="V199" s="1317"/>
      <c r="W199" s="1317"/>
      <c r="X199" s="1317"/>
      <c r="Y199" s="1317"/>
      <c r="Z199" s="1317"/>
      <c r="AA199" s="1317"/>
      <c r="AB199" s="1317"/>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6" t="str">
        <f>IF(AND(M25&gt;0,M27&gt;0),"Federal and State","Federal Only")</f>
        <v>Federal Only</v>
      </c>
      <c r="E203" s="1186"/>
      <c r="F203" s="1186"/>
      <c r="G203" s="1186"/>
      <c r="H203" s="1186"/>
      <c r="I203" s="1186"/>
      <c r="J203" s="1186"/>
      <c r="K203" s="1186"/>
      <c r="L203" s="1186"/>
      <c r="M203" s="1186"/>
      <c r="P203" s="1330">
        <f>M25</f>
        <v>1224237</v>
      </c>
      <c r="Q203" s="1330"/>
      <c r="R203" s="1330"/>
      <c r="S203" s="1330"/>
      <c r="T203" s="1330"/>
      <c r="U203" s="1330"/>
      <c r="W203" s="1330">
        <f>M27</f>
        <v>0</v>
      </c>
      <c r="X203" s="1330"/>
      <c r="Y203" s="1330"/>
      <c r="Z203" s="1330"/>
      <c r="AA203" s="1330"/>
      <c r="AB203" s="1330"/>
      <c r="AV203" t="s">
        <v>124</v>
      </c>
      <c r="AX203" s="5" t="s">
        <v>564</v>
      </c>
      <c r="BC203" t="s">
        <v>1434</v>
      </c>
      <c r="BN203" s="30" t="s">
        <v>661</v>
      </c>
      <c r="BT203" s="40" t="s">
        <v>808</v>
      </c>
      <c r="BU203" s="21"/>
    </row>
    <row r="204" spans="1:73" ht="12.9" customHeight="1">
      <c r="C204" s="29"/>
      <c r="P204" s="1423" t="s">
        <v>175</v>
      </c>
      <c r="Q204" s="1423"/>
      <c r="R204" s="1423"/>
      <c r="S204" s="1423"/>
      <c r="T204" s="1423"/>
      <c r="U204" s="1423"/>
      <c r="V204" s="36"/>
      <c r="W204" s="1423" t="s">
        <v>176</v>
      </c>
      <c r="X204" s="1423"/>
      <c r="Y204" s="1423"/>
      <c r="Z204" s="1423"/>
      <c r="AA204" s="1423"/>
      <c r="AB204" s="1423"/>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3" t="s">
        <v>2401</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317" t="s">
        <v>664</v>
      </c>
      <c r="E211" s="1053"/>
      <c r="F211" s="1053"/>
      <c r="G211" s="1053"/>
      <c r="H211" s="1053"/>
      <c r="I211" s="1053"/>
      <c r="J211" s="1053"/>
      <c r="K211" s="1053"/>
      <c r="L211" s="1053"/>
      <c r="M211" s="1053"/>
      <c r="N211" s="1053"/>
      <c r="O211" s="1053"/>
      <c r="P211" s="1053"/>
      <c r="X211" s="803"/>
      <c r="Y211" s="1334" t="s">
        <v>482</v>
      </c>
      <c r="Z211" s="1334"/>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8">
        <v>20</v>
      </c>
      <c r="AD215" s="1328"/>
      <c r="AF215" s="1339">
        <f>IFERROR(AC215/AG433,"")</f>
        <v>1</v>
      </c>
      <c r="AG215" s="1339"/>
      <c r="AX215" t="s">
        <v>2020</v>
      </c>
      <c r="BC215" t="s">
        <v>627</v>
      </c>
    </row>
    <row r="216" spans="1:72" ht="12.9" customHeight="1">
      <c r="D216" s="35"/>
      <c r="E216" s="938" t="s">
        <v>1432</v>
      </c>
      <c r="AX216" t="s">
        <v>2021</v>
      </c>
      <c r="BC216" t="s">
        <v>744</v>
      </c>
    </row>
    <row r="217" spans="1:72" ht="12.9" customHeight="1">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2023</v>
      </c>
      <c r="BC217" t="s">
        <v>628</v>
      </c>
    </row>
    <row r="218" spans="1:72" ht="12.9" customHeight="1">
      <c r="E218" s="41" t="s">
        <v>1959</v>
      </c>
      <c r="AA218" s="49"/>
      <c r="AC218" s="1323"/>
      <c r="AD218" s="1323"/>
      <c r="AE218" s="1323"/>
      <c r="AF218" s="1323"/>
      <c r="AG218" s="1323"/>
      <c r="AH218" s="1323"/>
      <c r="AI218" s="1323"/>
      <c r="AJ218" s="1323"/>
      <c r="AK218" s="1323"/>
      <c r="AL218" s="1323"/>
      <c r="AM218" s="1323"/>
      <c r="BC218" t="s">
        <v>629</v>
      </c>
      <c r="BI218" s="39"/>
    </row>
    <row r="219" spans="1:72" ht="12.9" customHeight="1">
      <c r="E219" s="41" t="s">
        <v>1960</v>
      </c>
      <c r="AA219" s="49"/>
      <c r="AC219" s="1323"/>
      <c r="AD219" s="1323"/>
      <c r="AE219" s="1323"/>
      <c r="AF219" s="1323"/>
      <c r="AG219" s="1323"/>
      <c r="AH219" s="1323"/>
      <c r="AI219" s="1323"/>
      <c r="AJ219" s="1323"/>
      <c r="AK219" s="1323"/>
      <c r="AL219" s="1323"/>
      <c r="AM219" s="1323"/>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7" t="s">
        <v>2291</v>
      </c>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317"/>
      <c r="AD223" s="1317"/>
      <c r="AE223" s="1317"/>
      <c r="AF223" s="1317"/>
      <c r="AG223" s="1317"/>
      <c r="AH223" s="1317"/>
      <c r="AI223" s="1317"/>
      <c r="AJ223" s="21"/>
      <c r="AK223" s="21"/>
      <c r="AL223" s="21"/>
    </row>
    <row r="224" spans="1:72" ht="12.9" customHeight="1">
      <c r="AJ224" s="5"/>
    </row>
    <row r="225" spans="1:59" ht="12.9" customHeight="1">
      <c r="D225" t="s">
        <v>557</v>
      </c>
      <c r="O225" s="1116">
        <v>19</v>
      </c>
      <c r="P225" s="1116"/>
    </row>
    <row r="226" spans="1:59" ht="12.9" customHeight="1">
      <c r="D226" t="s">
        <v>558</v>
      </c>
      <c r="O226" s="1116">
        <v>28</v>
      </c>
      <c r="P226" s="1116"/>
      <c r="BB226" s="5" t="s">
        <v>638</v>
      </c>
      <c r="BG226" s="410">
        <f>IF(AND(AND($M$251="for profit",$M$259="for profit",$M$267="nonprofit")),2,0)</f>
        <v>0</v>
      </c>
    </row>
    <row r="227" spans="1:59" ht="12.9" customHeight="1">
      <c r="D227" t="s">
        <v>559</v>
      </c>
      <c r="O227" s="1116">
        <v>17</v>
      </c>
      <c r="P227" s="1116"/>
      <c r="BB227" s="5" t="s">
        <v>638</v>
      </c>
      <c r="BG227" s="410">
        <f>IF(AND(AND($M$251="for profit",$M$259="nonprofit",$M$267="for profit")),2,0)</f>
        <v>2</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2" t="str">
        <f>H15</f>
        <v>Santa Cruz Highway 9 LP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 customHeight="1">
      <c r="D236" s="5" t="s">
        <v>372</v>
      </c>
      <c r="E236" s="5"/>
      <c r="F236" s="5"/>
      <c r="G236" s="5"/>
      <c r="H236" s="5"/>
      <c r="I236" s="5"/>
      <c r="J236" s="5"/>
      <c r="K236" s="5"/>
      <c r="M236" s="1317" t="s">
        <v>2328</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317" t="s">
        <v>2329</v>
      </c>
      <c r="N237" s="1053"/>
      <c r="O237" s="1053"/>
      <c r="P237" s="1053"/>
      <c r="Q237" s="1053"/>
      <c r="R237" s="1053"/>
      <c r="S237" s="1053"/>
      <c r="T237" s="1053"/>
      <c r="V237" s="42" t="s">
        <v>373</v>
      </c>
      <c r="W237" s="1147" t="s">
        <v>2330</v>
      </c>
      <c r="X237" s="1318"/>
      <c r="Y237" s="5" t="s">
        <v>433</v>
      </c>
      <c r="AC237" s="1053">
        <v>95521</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317" t="s">
        <v>2331</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319" t="s">
        <v>2332</v>
      </c>
      <c r="N239" s="1058"/>
      <c r="O239" s="1058"/>
      <c r="P239" s="1058"/>
      <c r="Q239" s="1058"/>
      <c r="R239" s="1058"/>
      <c r="S239" s="5" t="s">
        <v>818</v>
      </c>
      <c r="T239" s="5"/>
      <c r="U239" s="1318"/>
      <c r="V239" s="1318"/>
      <c r="W239" s="1318"/>
      <c r="X239" s="5" t="s">
        <v>376</v>
      </c>
      <c r="Z239" s="1058"/>
      <c r="AA239" s="1058"/>
      <c r="AB239" s="1058"/>
      <c r="AC239" s="1058"/>
      <c r="AD239" s="1058"/>
      <c r="AE239" s="1058"/>
      <c r="AM239" s="41"/>
      <c r="AN239" s="41"/>
      <c r="BB239" t="s">
        <v>1009</v>
      </c>
      <c r="BG239" s="410">
        <f>IF(AND(AND($M$251="for profit",$M$259="for profit",$M$267="for profit")),3,0)</f>
        <v>0</v>
      </c>
    </row>
    <row r="240" spans="1:59" ht="12.9" customHeight="1">
      <c r="D240" s="5" t="s">
        <v>377</v>
      </c>
      <c r="E240" s="5"/>
      <c r="F240" s="5"/>
      <c r="M240" s="1061" t="s">
        <v>2333</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 customHeight="1">
      <c r="D242" t="s">
        <v>631</v>
      </c>
      <c r="M242" s="1317"/>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4" t="s">
        <v>2323</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2324</v>
      </c>
      <c r="AG245" s="1327"/>
      <c r="AH245" s="1327"/>
      <c r="AI245" s="1327"/>
      <c r="AJ245" s="1327"/>
      <c r="AK245" s="1327"/>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2328</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317" t="s">
        <v>2329</v>
      </c>
      <c r="N247" s="1053"/>
      <c r="O247" s="1053"/>
      <c r="P247" s="1053"/>
      <c r="Q247" s="1053"/>
      <c r="R247" s="1053"/>
      <c r="S247" s="1053"/>
      <c r="T247" s="1053"/>
      <c r="V247" s="42" t="s">
        <v>373</v>
      </c>
      <c r="W247" s="1147" t="s">
        <v>2334</v>
      </c>
      <c r="X247" s="1318"/>
      <c r="Y247" s="5" t="s">
        <v>433</v>
      </c>
      <c r="AC247" s="1053">
        <v>95521</v>
      </c>
      <c r="AD247" s="1053"/>
      <c r="AE247" s="1053"/>
      <c r="AN247" s="41"/>
    </row>
    <row r="248" spans="1:67" ht="12.9" customHeight="1">
      <c r="A248" s="28"/>
      <c r="B248" s="5"/>
      <c r="C248" s="5"/>
      <c r="D248" s="5" t="s">
        <v>374</v>
      </c>
      <c r="E248" s="5"/>
      <c r="F248" s="5"/>
      <c r="G248" s="5"/>
      <c r="H248" s="5"/>
      <c r="I248" s="5"/>
      <c r="J248" s="5"/>
      <c r="K248" s="5"/>
      <c r="L248" s="28"/>
      <c r="M248" s="1053" t="s">
        <v>2331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8" t="s">
        <v>2332</v>
      </c>
      <c r="N249" s="1058"/>
      <c r="O249" s="1058"/>
      <c r="P249" s="1058"/>
      <c r="Q249" s="1058"/>
      <c r="R249" s="1058"/>
      <c r="S249" s="5" t="s">
        <v>818</v>
      </c>
      <c r="T249" s="5"/>
      <c r="U249" s="1318"/>
      <c r="V249" s="1318"/>
      <c r="W249" s="1318"/>
      <c r="X249" s="5" t="s">
        <v>376</v>
      </c>
      <c r="Z249" s="1058"/>
      <c r="AA249" s="1058"/>
      <c r="AB249" s="1058"/>
      <c r="AC249" s="1058"/>
      <c r="AD249" s="1058"/>
      <c r="AE249" s="1058"/>
      <c r="AM249" s="5"/>
      <c r="AN249" s="41"/>
    </row>
    <row r="250" spans="1:67" ht="12.9" customHeight="1">
      <c r="A250" s="28"/>
      <c r="B250" s="5"/>
      <c r="C250" s="5"/>
      <c r="D250" s="5" t="s">
        <v>377</v>
      </c>
      <c r="E250" s="5"/>
      <c r="F250" s="5"/>
      <c r="M250" s="1061" t="s">
        <v>2333</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9" t="s">
        <v>2325</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4" t="s">
        <v>2327</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2326</v>
      </c>
      <c r="AG253" s="1327"/>
      <c r="AH253" s="1327"/>
      <c r="AI253" s="1327"/>
      <c r="AJ253" s="1327"/>
      <c r="AK253" s="1327"/>
      <c r="AM253" s="5"/>
    </row>
    <row r="254" spans="1:67" ht="12.9"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c r="N255" s="1053"/>
      <c r="O255" s="1053"/>
      <c r="P255" s="1053"/>
      <c r="Q255" s="1053"/>
      <c r="R255" s="1053"/>
      <c r="S255" s="1053"/>
      <c r="T255" s="1053"/>
      <c r="V255" s="42" t="s">
        <v>373</v>
      </c>
      <c r="W255" s="1318"/>
      <c r="X255" s="1318"/>
      <c r="Y255" s="5" t="s">
        <v>433</v>
      </c>
      <c r="AC255" s="1053"/>
      <c r="AD255" s="1053"/>
      <c r="AE255" s="1053"/>
    </row>
    <row r="256" spans="1:67" ht="12.9"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8"/>
      <c r="N257" s="1058"/>
      <c r="O257" s="1058"/>
      <c r="P257" s="1058"/>
      <c r="Q257" s="1058"/>
      <c r="R257" s="1058"/>
      <c r="S257" s="5" t="s">
        <v>818</v>
      </c>
      <c r="T257" s="5"/>
      <c r="U257" s="1318"/>
      <c r="V257" s="1318"/>
      <c r="W257" s="1318"/>
      <c r="X257" s="5" t="s">
        <v>376</v>
      </c>
      <c r="Z257" s="1058"/>
      <c r="AA257" s="1058"/>
      <c r="AB257" s="1058"/>
      <c r="AC257" s="1058"/>
      <c r="AD257" s="1058"/>
      <c r="AE257" s="1058"/>
      <c r="BA257" s="43"/>
    </row>
    <row r="258" spans="1:53" ht="12.9" customHeight="1">
      <c r="A258" s="28"/>
      <c r="B258" s="5"/>
      <c r="C258" s="5"/>
      <c r="D258" s="5" t="s">
        <v>377</v>
      </c>
      <c r="E258" s="5"/>
      <c r="F258" s="5"/>
      <c r="M258" s="1061"/>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4" t="s">
        <v>2338</v>
      </c>
      <c r="N261" s="1327"/>
      <c r="O261" s="1327"/>
      <c r="P261" s="1327"/>
      <c r="Q261" s="1327"/>
      <c r="R261" s="1327"/>
      <c r="S261" s="1327"/>
      <c r="T261" s="1327"/>
      <c r="U261" s="1327"/>
      <c r="V261" s="1327"/>
      <c r="W261" s="1327"/>
      <c r="X261" s="1327"/>
      <c r="Y261" s="1327"/>
      <c r="Z261" s="1327"/>
      <c r="AA261" s="1327"/>
      <c r="AB261" s="1327"/>
      <c r="AC261" s="1327"/>
      <c r="AD261" s="1327"/>
      <c r="AE261" s="1327"/>
      <c r="AF261" s="1327" t="s">
        <v>2324</v>
      </c>
      <c r="AG261" s="1327"/>
      <c r="AH261" s="1327"/>
      <c r="AI261" s="1327"/>
      <c r="AJ261" s="1327"/>
      <c r="AK261" s="1327"/>
      <c r="AL261" s="41"/>
    </row>
    <row r="262" spans="1:53" ht="12.9" customHeight="1">
      <c r="A262" s="18"/>
      <c r="B262" s="5"/>
      <c r="C262" s="5"/>
      <c r="D262" s="5" t="s">
        <v>372</v>
      </c>
      <c r="E262" s="5"/>
      <c r="F262" s="5"/>
      <c r="G262" s="5"/>
      <c r="H262" s="5"/>
      <c r="I262" s="5"/>
      <c r="J262" s="5"/>
      <c r="K262" s="5"/>
      <c r="L262" s="5"/>
      <c r="M262" s="1053" t="s">
        <v>2328</v>
      </c>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t="s">
        <v>2329</v>
      </c>
      <c r="N263" s="1053"/>
      <c r="O263" s="1053"/>
      <c r="P263" s="1053"/>
      <c r="Q263" s="1053"/>
      <c r="R263" s="1053"/>
      <c r="S263" s="1053"/>
      <c r="T263" s="1053"/>
      <c r="V263" s="42" t="s">
        <v>373</v>
      </c>
      <c r="W263" s="1147" t="s">
        <v>2330</v>
      </c>
      <c r="X263" s="1318"/>
      <c r="Y263" s="5" t="s">
        <v>433</v>
      </c>
      <c r="AC263" s="1053">
        <v>95521</v>
      </c>
      <c r="AD263" s="1053"/>
      <c r="AE263" s="1053"/>
      <c r="AL263" s="41"/>
      <c r="BA263" s="43"/>
    </row>
    <row r="264" spans="1:53" ht="12.9" customHeight="1">
      <c r="A264" s="18"/>
      <c r="B264" s="5"/>
      <c r="C264" s="5"/>
      <c r="D264" s="5" t="s">
        <v>374</v>
      </c>
      <c r="E264" s="5"/>
      <c r="F264" s="5"/>
      <c r="G264" s="5"/>
      <c r="H264" s="5"/>
      <c r="I264" s="5"/>
      <c r="J264" s="5"/>
      <c r="K264" s="5"/>
      <c r="L264" s="28"/>
      <c r="M264" s="1317" t="s">
        <v>2340</v>
      </c>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t="s">
        <v>2332</v>
      </c>
      <c r="N265" s="1058"/>
      <c r="O265" s="1058"/>
      <c r="P265" s="1058"/>
      <c r="Q265" s="1058"/>
      <c r="R265" s="1058"/>
      <c r="S265" s="5" t="s">
        <v>818</v>
      </c>
      <c r="T265" s="5"/>
      <c r="U265" s="1318"/>
      <c r="V265" s="1318"/>
      <c r="W265" s="1318"/>
      <c r="X265" s="5" t="s">
        <v>376</v>
      </c>
      <c r="Z265" s="1319"/>
      <c r="AA265" s="1058"/>
      <c r="AB265" s="1058"/>
      <c r="AC265" s="1058"/>
      <c r="AD265" s="1058"/>
      <c r="AE265" s="1058"/>
      <c r="AL265" s="41"/>
      <c r="BA265" s="43"/>
    </row>
    <row r="266" spans="1:53" ht="12.9"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636</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0" t="str">
        <f>BO245</f>
        <v>Joint Venture</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454</v>
      </c>
      <c r="E272" s="1053"/>
      <c r="F272" s="1053"/>
      <c r="G272" s="1053"/>
      <c r="H272" s="1053"/>
      <c r="J272" t="s">
        <v>891</v>
      </c>
      <c r="X272" s="1348">
        <v>45488</v>
      </c>
      <c r="Y272" s="1348"/>
      <c r="Z272" s="1348"/>
      <c r="AA272" s="1348"/>
      <c r="AB272" s="1348"/>
      <c r="AC272" s="1348"/>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2338</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2.9" customHeight="1">
      <c r="D277" s="5" t="s">
        <v>372</v>
      </c>
      <c r="E277" s="5"/>
      <c r="F277" s="5"/>
      <c r="G277" s="5"/>
      <c r="H277" s="5"/>
      <c r="I277" s="5"/>
      <c r="J277" s="5"/>
      <c r="K277" s="5"/>
      <c r="L277" s="1317" t="s">
        <v>2328</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317" t="s">
        <v>2329</v>
      </c>
      <c r="M278" s="1053"/>
      <c r="N278" s="1053"/>
      <c r="O278" s="1053"/>
      <c r="P278" s="1053"/>
      <c r="Q278" s="1053"/>
      <c r="R278" s="1053"/>
      <c r="S278" s="1053"/>
      <c r="U278" s="42" t="s">
        <v>373</v>
      </c>
      <c r="V278" s="1147" t="s">
        <v>2330</v>
      </c>
      <c r="W278" s="1318"/>
      <c r="X278" s="5" t="s">
        <v>433</v>
      </c>
      <c r="AB278" s="1053">
        <v>95521</v>
      </c>
      <c r="AC278" s="1053"/>
      <c r="AD278" s="1053"/>
      <c r="AK278" s="41"/>
      <c r="AL278" s="41"/>
      <c r="BA278" s="43"/>
    </row>
    <row r="279" spans="1:53" ht="12.9" customHeight="1">
      <c r="D279" s="5" t="s">
        <v>374</v>
      </c>
      <c r="E279" s="5"/>
      <c r="F279" s="5"/>
      <c r="G279" s="5"/>
      <c r="H279" s="5"/>
      <c r="I279" s="5"/>
      <c r="J279" s="5"/>
      <c r="K279" s="28"/>
      <c r="L279" s="1317" t="s">
        <v>2391</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319" t="s">
        <v>2393</v>
      </c>
      <c r="M280" s="1058"/>
      <c r="N280" s="1058"/>
      <c r="O280" s="1058"/>
      <c r="P280" s="1058"/>
      <c r="Q280" s="1058"/>
      <c r="R280" s="5" t="s">
        <v>818</v>
      </c>
      <c r="S280" s="5"/>
      <c r="T280" s="1318"/>
      <c r="U280" s="1318"/>
      <c r="V280" s="1318"/>
      <c r="W280" s="5" t="s">
        <v>376</v>
      </c>
      <c r="Y280" s="1058"/>
      <c r="Z280" s="1058"/>
      <c r="AA280" s="1058"/>
      <c r="AB280" s="1058"/>
      <c r="AC280" s="1058"/>
      <c r="AD280" s="1058"/>
      <c r="BA280" s="43"/>
    </row>
    <row r="281" spans="1:53" ht="12.9" customHeight="1">
      <c r="D281" s="5" t="s">
        <v>377</v>
      </c>
      <c r="E281" s="5"/>
      <c r="F281" s="5"/>
      <c r="L281" s="1061" t="s">
        <v>2392</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186</v>
      </c>
      <c r="E282" s="41"/>
      <c r="F282" s="41"/>
      <c r="G282" s="41"/>
      <c r="H282" s="41"/>
      <c r="I282" s="41"/>
      <c r="L282" s="1147" t="s">
        <v>2394</v>
      </c>
      <c r="M282" s="1147"/>
      <c r="N282" s="1147"/>
      <c r="O282" s="1147"/>
      <c r="P282" s="1147"/>
      <c r="Q282" s="1147"/>
      <c r="R282" s="1147"/>
      <c r="S282" s="1147"/>
      <c r="T282" s="1147"/>
      <c r="U282" s="1147"/>
      <c r="V282" s="1147"/>
      <c r="W282" s="1147"/>
      <c r="X282" s="1147"/>
      <c r="Y282" s="1147"/>
      <c r="Z282" s="1147"/>
      <c r="AA282" s="1147"/>
      <c r="AB282" s="1147"/>
      <c r="AC282" s="1147"/>
      <c r="AD282" s="1147"/>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2338</v>
      </c>
      <c r="I289" s="1056"/>
      <c r="J289" s="1056"/>
      <c r="K289" s="1056"/>
      <c r="L289" s="1056"/>
      <c r="M289" s="1056"/>
      <c r="N289" s="1056"/>
      <c r="O289" s="1056"/>
      <c r="P289" s="1056"/>
      <c r="Q289" s="1056"/>
      <c r="R289" s="1056"/>
      <c r="T289" s="41" t="s">
        <v>745</v>
      </c>
      <c r="V289" s="41"/>
      <c r="W289" s="41"/>
      <c r="X289" s="41"/>
      <c r="Y289" s="41"/>
      <c r="AA289" s="1317" t="s">
        <v>2402</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2328</v>
      </c>
      <c r="I290" s="1054"/>
      <c r="J290" s="1054"/>
      <c r="K290" s="1054"/>
      <c r="L290" s="1054"/>
      <c r="M290" s="1054"/>
      <c r="N290" s="1054"/>
      <c r="O290" s="1054"/>
      <c r="P290" s="1054"/>
      <c r="Q290" s="1054"/>
      <c r="R290" s="1054"/>
      <c r="T290" s="41" t="s">
        <v>699</v>
      </c>
      <c r="V290" s="41"/>
      <c r="W290" s="41"/>
      <c r="X290" s="41"/>
      <c r="Y290" s="41"/>
      <c r="AA290" s="1147" t="s">
        <v>2403</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2339</v>
      </c>
      <c r="I291" s="1054"/>
      <c r="J291" s="1054"/>
      <c r="K291" s="1054"/>
      <c r="L291" s="1054"/>
      <c r="M291" s="1054"/>
      <c r="N291" s="1054"/>
      <c r="O291" s="1054"/>
      <c r="P291" s="1054"/>
      <c r="Q291" s="1054"/>
      <c r="R291" s="1054"/>
      <c r="T291" s="41" t="s">
        <v>700</v>
      </c>
      <c r="V291" s="41"/>
      <c r="W291" s="41"/>
      <c r="X291" s="41"/>
      <c r="Y291" s="41"/>
      <c r="AA291" s="1147" t="s">
        <v>2404</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2340</v>
      </c>
      <c r="I292" s="1054"/>
      <c r="J292" s="1054"/>
      <c r="K292" s="1054"/>
      <c r="L292" s="1054"/>
      <c r="M292" s="1054"/>
      <c r="N292" s="1054"/>
      <c r="O292" s="1054"/>
      <c r="P292" s="1054"/>
      <c r="Q292" s="1054"/>
      <c r="R292" s="1054"/>
      <c r="T292" s="41" t="s">
        <v>374</v>
      </c>
      <c r="V292" s="41"/>
      <c r="W292" s="41"/>
      <c r="X292" s="41"/>
      <c r="Y292" s="41"/>
      <c r="AA292" s="1147" t="s">
        <v>2406</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9" t="s">
        <v>2332</v>
      </c>
      <c r="I293" s="1057"/>
      <c r="J293" s="1057"/>
      <c r="K293" s="1057"/>
      <c r="L293" s="1057"/>
      <c r="M293" s="1057"/>
      <c r="N293" s="5" t="s">
        <v>818</v>
      </c>
      <c r="O293" s="5"/>
      <c r="P293" s="1053"/>
      <c r="Q293" s="1053"/>
      <c r="R293" s="1053"/>
      <c r="S293" s="41"/>
      <c r="T293" s="41" t="s">
        <v>375</v>
      </c>
      <c r="V293" s="41"/>
      <c r="W293" s="41"/>
      <c r="X293" s="41"/>
      <c r="Y293" s="41"/>
      <c r="AA293" s="1057">
        <v>8316213926</v>
      </c>
      <c r="AB293" s="1057"/>
      <c r="AC293" s="1057"/>
      <c r="AD293" s="1057"/>
      <c r="AE293" s="1057"/>
      <c r="AF293" s="1057"/>
      <c r="AG293" s="5" t="s">
        <v>818</v>
      </c>
      <c r="AH293" s="5"/>
      <c r="AI293" s="1053"/>
      <c r="AJ293" s="1053"/>
      <c r="AK293" s="1053"/>
      <c r="BA293" s="43"/>
    </row>
    <row r="294" spans="2:53" ht="12.9"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 customHeight="1">
      <c r="B295" s="41" t="s">
        <v>702</v>
      </c>
      <c r="C295" s="41"/>
      <c r="D295" s="41"/>
      <c r="E295" s="41"/>
      <c r="F295" s="41"/>
      <c r="G295" s="41"/>
      <c r="H295" s="1054" t="s">
        <v>2341</v>
      </c>
      <c r="I295" s="1054"/>
      <c r="J295" s="1054"/>
      <c r="K295" s="1054"/>
      <c r="L295" s="1054"/>
      <c r="M295" s="1054"/>
      <c r="N295" s="1056"/>
      <c r="O295" s="1056"/>
      <c r="P295" s="1056"/>
      <c r="Q295" s="1056"/>
      <c r="R295" s="1056"/>
      <c r="S295" s="41"/>
      <c r="T295" s="41" t="s">
        <v>702</v>
      </c>
      <c r="V295" s="41"/>
      <c r="W295" s="41"/>
      <c r="X295" s="41"/>
      <c r="Y295" s="41"/>
      <c r="AA295" s="1147" t="s">
        <v>2405</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2351</v>
      </c>
      <c r="I297" s="1056"/>
      <c r="J297" s="1056"/>
      <c r="K297" s="1056"/>
      <c r="L297" s="1056"/>
      <c r="M297" s="1056"/>
      <c r="N297" s="1056"/>
      <c r="O297" s="1056"/>
      <c r="P297" s="1056"/>
      <c r="Q297" s="1056"/>
      <c r="R297" s="1056"/>
      <c r="T297" s="41" t="s">
        <v>35</v>
      </c>
      <c r="V297" s="41"/>
      <c r="W297" s="41"/>
      <c r="X297" s="41"/>
      <c r="Y297" s="41"/>
      <c r="AA297" s="1056" t="s">
        <v>2347</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2352</v>
      </c>
      <c r="I298" s="1054"/>
      <c r="J298" s="1054"/>
      <c r="K298" s="1054"/>
      <c r="L298" s="1054"/>
      <c r="M298" s="1054"/>
      <c r="N298" s="1054"/>
      <c r="O298" s="1054"/>
      <c r="P298" s="1054"/>
      <c r="Q298" s="1054"/>
      <c r="R298" s="1054"/>
      <c r="T298" s="41" t="s">
        <v>699</v>
      </c>
      <c r="V298" s="41"/>
      <c r="W298" s="41"/>
      <c r="X298" s="41"/>
      <c r="Y298" s="41"/>
      <c r="AA298" s="1054" t="s">
        <v>2348</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2353</v>
      </c>
      <c r="I299" s="1054"/>
      <c r="J299" s="1054"/>
      <c r="K299" s="1054"/>
      <c r="L299" s="1054"/>
      <c r="M299" s="1054"/>
      <c r="N299" s="1054"/>
      <c r="O299" s="1054"/>
      <c r="P299" s="1054"/>
      <c r="Q299" s="1054"/>
      <c r="R299" s="1054"/>
      <c r="T299" s="41" t="s">
        <v>700</v>
      </c>
      <c r="V299" s="41"/>
      <c r="W299" s="41"/>
      <c r="X299" s="41"/>
      <c r="Y299" s="41"/>
      <c r="AA299" s="1054" t="s">
        <v>2339</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2354</v>
      </c>
      <c r="I300" s="1054"/>
      <c r="J300" s="1054"/>
      <c r="K300" s="1054"/>
      <c r="L300" s="1054"/>
      <c r="M300" s="1054"/>
      <c r="N300" s="1054"/>
      <c r="O300" s="1054"/>
      <c r="P300" s="1054"/>
      <c r="Q300" s="1054"/>
      <c r="R300" s="1054"/>
      <c r="T300" s="41" t="s">
        <v>374</v>
      </c>
      <c r="V300" s="41"/>
      <c r="W300" s="41"/>
      <c r="X300" s="41"/>
      <c r="Y300" s="41"/>
      <c r="AA300" s="1054" t="s">
        <v>2340</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7" t="s">
        <v>2355</v>
      </c>
      <c r="I301" s="1057"/>
      <c r="J301" s="1057"/>
      <c r="K301" s="1057"/>
      <c r="L301" s="1057"/>
      <c r="M301" s="1057"/>
      <c r="N301" s="5" t="s">
        <v>818</v>
      </c>
      <c r="O301" s="5"/>
      <c r="P301" s="1053"/>
      <c r="Q301" s="1053"/>
      <c r="R301" s="1053"/>
      <c r="S301" s="41"/>
      <c r="T301" s="41" t="s">
        <v>375</v>
      </c>
      <c r="V301" s="41"/>
      <c r="W301" s="41"/>
      <c r="X301" s="41"/>
      <c r="Y301" s="41"/>
      <c r="AA301" s="1057" t="s">
        <v>2349</v>
      </c>
      <c r="AB301" s="1057"/>
      <c r="AC301" s="1057"/>
      <c r="AD301" s="1057"/>
      <c r="AE301" s="1057"/>
      <c r="AF301" s="1057"/>
      <c r="AG301" s="5" t="s">
        <v>818</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2350</v>
      </c>
      <c r="AB302" s="1058"/>
      <c r="AC302" s="1058"/>
      <c r="AD302" s="1058"/>
      <c r="AE302" s="1058"/>
      <c r="AF302" s="1058"/>
      <c r="AG302" s="5"/>
      <c r="AH302" s="5"/>
      <c r="AI302" s="44"/>
      <c r="AJ302" s="44"/>
      <c r="AK302" s="44"/>
      <c r="BA302" s="43"/>
    </row>
    <row r="303" spans="2:53" ht="12.9" customHeight="1">
      <c r="B303" s="41" t="s">
        <v>702</v>
      </c>
      <c r="C303" s="41"/>
      <c r="D303" s="41"/>
      <c r="E303" s="41"/>
      <c r="F303" s="41"/>
      <c r="G303" s="41"/>
      <c r="H303" s="1054" t="s">
        <v>2356</v>
      </c>
      <c r="I303" s="1054"/>
      <c r="J303" s="1054"/>
      <c r="K303" s="1054"/>
      <c r="L303" s="1054"/>
      <c r="M303" s="1054"/>
      <c r="N303" s="1056"/>
      <c r="O303" s="1056"/>
      <c r="P303" s="1056"/>
      <c r="Q303" s="1056"/>
      <c r="R303" s="1056"/>
      <c r="S303" s="41"/>
      <c r="T303" s="41" t="s">
        <v>702</v>
      </c>
      <c r="V303" s="41"/>
      <c r="W303" s="41"/>
      <c r="X303" s="41"/>
      <c r="Y303" s="41"/>
      <c r="AA303" s="1054" t="s">
        <v>2341</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2357</v>
      </c>
      <c r="I305" s="1056"/>
      <c r="J305" s="1056"/>
      <c r="K305" s="1056"/>
      <c r="L305" s="1056"/>
      <c r="M305" s="1056"/>
      <c r="N305" s="1056"/>
      <c r="O305" s="1056"/>
      <c r="P305" s="1056"/>
      <c r="Q305" s="1056"/>
      <c r="R305" s="1056"/>
      <c r="T305" s="5" t="s">
        <v>1105</v>
      </c>
      <c r="V305" s="41"/>
      <c r="W305" s="41"/>
      <c r="X305" s="41"/>
      <c r="Y305" s="41"/>
      <c r="AA305" s="1056" t="s">
        <v>2396</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t="s">
        <v>2358</v>
      </c>
      <c r="I306" s="1054"/>
      <c r="J306" s="1054"/>
      <c r="K306" s="1054"/>
      <c r="L306" s="1054"/>
      <c r="M306" s="1054"/>
      <c r="N306" s="1054"/>
      <c r="O306" s="1054"/>
      <c r="P306" s="1054"/>
      <c r="Q306" s="1054"/>
      <c r="R306" s="1054"/>
      <c r="T306" s="41" t="s">
        <v>699</v>
      </c>
      <c r="V306" s="41"/>
      <c r="W306" s="41"/>
      <c r="X306" s="41"/>
      <c r="Y306" s="41"/>
      <c r="AA306" s="1054" t="s">
        <v>2397</v>
      </c>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t="s">
        <v>2359</v>
      </c>
      <c r="I307" s="1054"/>
      <c r="J307" s="1054"/>
      <c r="K307" s="1054"/>
      <c r="L307" s="1054"/>
      <c r="M307" s="1054"/>
      <c r="N307" s="1054"/>
      <c r="O307" s="1054"/>
      <c r="P307" s="1054"/>
      <c r="Q307" s="1054"/>
      <c r="R307" s="1054"/>
      <c r="T307" s="41" t="s">
        <v>700</v>
      </c>
      <c r="V307" s="41"/>
      <c r="W307" s="41"/>
      <c r="X307" s="41"/>
      <c r="Y307" s="41"/>
      <c r="AA307" s="1054" t="s">
        <v>2339</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2360</v>
      </c>
      <c r="I308" s="1054"/>
      <c r="J308" s="1054"/>
      <c r="K308" s="1054"/>
      <c r="L308" s="1054"/>
      <c r="M308" s="1054"/>
      <c r="N308" s="1054"/>
      <c r="O308" s="1054"/>
      <c r="P308" s="1054"/>
      <c r="Q308" s="1054"/>
      <c r="R308" s="1054"/>
      <c r="T308" s="41" t="s">
        <v>374</v>
      </c>
      <c r="V308" s="41"/>
      <c r="W308" s="41"/>
      <c r="X308" s="41"/>
      <c r="Y308" s="41"/>
      <c r="AA308" s="1054" t="s">
        <v>2398</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2361</v>
      </c>
      <c r="I309" s="1057"/>
      <c r="J309" s="1057"/>
      <c r="K309" s="1057"/>
      <c r="L309" s="1057"/>
      <c r="M309" s="1057"/>
      <c r="N309" s="5" t="s">
        <v>818</v>
      </c>
      <c r="O309" s="5"/>
      <c r="P309" s="1053"/>
      <c r="Q309" s="1053"/>
      <c r="R309" s="1053"/>
      <c r="S309" s="41"/>
      <c r="T309" s="41" t="s">
        <v>375</v>
      </c>
      <c r="V309" s="41"/>
      <c r="W309" s="41"/>
      <c r="X309" s="41"/>
      <c r="Y309" s="41"/>
      <c r="AA309" s="1057" t="s">
        <v>2399</v>
      </c>
      <c r="AB309" s="1057"/>
      <c r="AC309" s="1057"/>
      <c r="AD309" s="1057"/>
      <c r="AE309" s="1057"/>
      <c r="AF309" s="1057"/>
      <c r="AG309" s="5" t="s">
        <v>818</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 customHeight="1">
      <c r="B311" s="41" t="s">
        <v>702</v>
      </c>
      <c r="C311" s="41"/>
      <c r="D311" s="41"/>
      <c r="E311" s="41"/>
      <c r="F311" s="41"/>
      <c r="G311" s="41"/>
      <c r="H311" s="1054" t="s">
        <v>2362</v>
      </c>
      <c r="I311" s="1054"/>
      <c r="J311" s="1054"/>
      <c r="K311" s="1054"/>
      <c r="L311" s="1054"/>
      <c r="M311" s="1054"/>
      <c r="N311" s="1056"/>
      <c r="O311" s="1056"/>
      <c r="P311" s="1056"/>
      <c r="Q311" s="1056"/>
      <c r="R311" s="1056"/>
      <c r="S311" s="41"/>
      <c r="T311" s="41" t="s">
        <v>702</v>
      </c>
      <c r="V311" s="41"/>
      <c r="W311" s="41"/>
      <c r="X311" s="41"/>
      <c r="Y311" s="41"/>
      <c r="AA311" s="1054" t="s">
        <v>2400</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317" t="s">
        <v>2407</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2408</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2409</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2410</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2411</v>
      </c>
      <c r="AB317" s="1057"/>
      <c r="AC317" s="1057"/>
      <c r="AD317" s="1057"/>
      <c r="AE317" s="1057"/>
      <c r="AF317" s="1057"/>
      <c r="AG317" s="5" t="s">
        <v>818</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2412</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2413</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2414</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2415</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2416</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2417</v>
      </c>
      <c r="AB325" s="1057"/>
      <c r="AC325" s="1057"/>
      <c r="AD325" s="1057"/>
      <c r="AE325" s="1057"/>
      <c r="AF325" s="1057"/>
      <c r="AG325" s="5" t="s">
        <v>818</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2418</v>
      </c>
      <c r="AB326" s="1058"/>
      <c r="AC326" s="1058"/>
      <c r="AD326" s="1058"/>
      <c r="AE326" s="1058"/>
      <c r="AF326" s="1058"/>
      <c r="AG326" s="5"/>
      <c r="AH326" s="5"/>
      <c r="AI326" s="44"/>
      <c r="AJ326" s="44"/>
      <c r="AK326" s="44"/>
      <c r="BA326" s="43"/>
    </row>
    <row r="327" spans="2:53" ht="12.9"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2419</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2342</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2328</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2339</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2343</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2344</v>
      </c>
      <c r="AB333" s="1057"/>
      <c r="AC333" s="1057"/>
      <c r="AD333" s="1057"/>
      <c r="AE333" s="1057"/>
      <c r="AF333" s="1057"/>
      <c r="AG333" s="5" t="s">
        <v>818</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2345</v>
      </c>
      <c r="AB334" s="1058"/>
      <c r="AC334" s="1058"/>
      <c r="AD334" s="1058"/>
      <c r="AE334" s="1058"/>
      <c r="AF334" s="1058"/>
      <c r="AG334" s="5"/>
      <c r="AH334" s="5"/>
      <c r="AI334" s="44"/>
      <c r="AJ334" s="44"/>
      <c r="AK334" s="44"/>
      <c r="BA334" s="43"/>
    </row>
    <row r="335" spans="2:53" ht="12.9"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2346</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6" t="s">
        <v>108</v>
      </c>
      <c r="N349" s="1116"/>
      <c r="P349" t="s">
        <v>1961</v>
      </c>
      <c r="AJ349" s="1116" t="s">
        <v>124</v>
      </c>
      <c r="AK349" s="1116"/>
    </row>
    <row r="350" spans="1:53" ht="12.9" customHeight="1">
      <c r="D350" s="41" t="s">
        <v>1888</v>
      </c>
      <c r="M350" s="1116" t="s">
        <v>124</v>
      </c>
      <c r="N350" s="1116"/>
      <c r="P350" s="41" t="s">
        <v>1962</v>
      </c>
      <c r="AJ350" s="1145"/>
      <c r="AK350" s="1145"/>
    </row>
    <row r="351" spans="1:53" ht="12.9" customHeight="1">
      <c r="D351" t="s">
        <v>313</v>
      </c>
      <c r="M351" s="1116" t="s">
        <v>124</v>
      </c>
      <c r="N351" s="1116"/>
      <c r="P351" t="s">
        <v>1963</v>
      </c>
      <c r="AJ351" s="1116" t="s">
        <v>124</v>
      </c>
      <c r="AK351" s="1116"/>
    </row>
    <row r="352" spans="1:53" ht="12.9" customHeight="1">
      <c r="D352" t="s">
        <v>314</v>
      </c>
      <c r="M352" s="1116" t="s">
        <v>124</v>
      </c>
      <c r="N352" s="1116"/>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 customHeight="1">
      <c r="E358" t="s">
        <v>733</v>
      </c>
      <c r="Y358" s="1116" t="s">
        <v>124</v>
      </c>
      <c r="Z358" s="1116"/>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 customHeight="1">
      <c r="E366" s="5" t="s">
        <v>65</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2.9"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47"/>
      <c r="T370" s="1347"/>
      <c r="U370" s="370" t="s">
        <v>232</v>
      </c>
      <c r="V370" s="1347"/>
      <c r="W370" s="1347"/>
      <c r="X370" s="361"/>
      <c r="Z370" s="361"/>
      <c r="AA370" s="940" t="s">
        <v>2104</v>
      </c>
      <c r="AB370" s="361" t="s">
        <v>231</v>
      </c>
      <c r="AC370" s="361"/>
      <c r="AD370" s="1347"/>
      <c r="AE370" s="1347"/>
      <c r="AF370" s="370" t="s">
        <v>232</v>
      </c>
      <c r="AG370" s="1347"/>
      <c r="AH370" s="1347"/>
    </row>
    <row r="371" spans="1:36" ht="12.9"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317" t="s">
        <v>2420</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 customHeight="1">
      <c r="D379" s="41" t="s">
        <v>1964</v>
      </c>
      <c r="J379" s="1054"/>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3"/>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6"/>
      <c r="R382" s="1476"/>
      <c r="S382" s="1476"/>
      <c r="T382" s="1476"/>
      <c r="U382" s="1476"/>
      <c r="V382" t="s">
        <v>168</v>
      </c>
      <c r="AI382" s="1116" t="s">
        <v>482</v>
      </c>
      <c r="AJ382" s="1116"/>
    </row>
    <row r="383" spans="1:36" ht="12.9" customHeight="1">
      <c r="D383" t="s">
        <v>555</v>
      </c>
      <c r="Q383" s="1262"/>
      <c r="R383" s="1354"/>
      <c r="S383" s="1354"/>
      <c r="T383" s="1354"/>
      <c r="U383" s="1354"/>
      <c r="W383" s="29" t="s">
        <v>20</v>
      </c>
      <c r="AG383" s="1131"/>
      <c r="AH383" s="1131"/>
      <c r="AI383" s="1131"/>
      <c r="AJ383" s="1131"/>
    </row>
    <row r="384" spans="1:36" ht="12.9" customHeight="1">
      <c r="D384" t="s">
        <v>274</v>
      </c>
      <c r="Q384" s="1115">
        <f>+'Sources and Uses Budget'!C12</f>
        <v>3425000</v>
      </c>
      <c r="R384" s="1115"/>
      <c r="S384" s="1115"/>
      <c r="T384" s="1115"/>
      <c r="U384" s="1115"/>
      <c r="V384" s="41" t="s">
        <v>1966</v>
      </c>
      <c r="AG384" s="1280"/>
      <c r="AH384" s="1280"/>
      <c r="AI384" s="1280"/>
      <c r="AJ384" s="1280"/>
    </row>
    <row r="385" spans="4:36" ht="12.9" customHeight="1">
      <c r="D385" t="s">
        <v>375</v>
      </c>
      <c r="I385" s="1059"/>
      <c r="J385" s="1059"/>
      <c r="K385" s="1059"/>
      <c r="L385" s="1059"/>
      <c r="M385" s="1059"/>
      <c r="N385" s="1059"/>
      <c r="Q385" s="41" t="s">
        <v>818</v>
      </c>
      <c r="S385" s="1148"/>
      <c r="T385" s="1148"/>
      <c r="U385" s="1148"/>
      <c r="V385" t="s">
        <v>19</v>
      </c>
      <c r="AI385" s="1116" t="s">
        <v>482</v>
      </c>
      <c r="AJ385" s="1116"/>
    </row>
    <row r="386" spans="4:36" ht="12.9" customHeight="1">
      <c r="D386" t="s">
        <v>169</v>
      </c>
      <c r="Q386" s="1174"/>
      <c r="R386" s="1174"/>
      <c r="S386" s="1174"/>
      <c r="T386" s="1174"/>
      <c r="U386" s="1174"/>
      <c r="V386" t="s">
        <v>170</v>
      </c>
      <c r="AG386" s="1131"/>
      <c r="AH386" s="1131"/>
      <c r="AI386" s="1131"/>
      <c r="AJ386" s="1131"/>
    </row>
    <row r="387" spans="4:36" ht="12.9" customHeight="1">
      <c r="D387" t="s">
        <v>25</v>
      </c>
      <c r="Q387" s="1417"/>
      <c r="R387" s="1417"/>
      <c r="S387" s="1417"/>
      <c r="T387" s="1417"/>
      <c r="U387" s="1417"/>
      <c r="V387" t="s">
        <v>1682</v>
      </c>
      <c r="AG387" s="1131"/>
      <c r="AH387" s="1131"/>
      <c r="AI387" s="1131"/>
      <c r="AJ387" s="1131"/>
    </row>
    <row r="388" spans="4:36" ht="12.9" customHeight="1">
      <c r="D388" t="s">
        <v>1967</v>
      </c>
      <c r="AG388" s="1131"/>
      <c r="AH388" s="1131"/>
      <c r="AI388" s="1131"/>
      <c r="AJ388" s="1131"/>
    </row>
    <row r="389" spans="4:36" ht="12.9" customHeight="1">
      <c r="AG389" s="832"/>
      <c r="AH389" s="832"/>
      <c r="AI389" s="832"/>
      <c r="AJ389" s="832"/>
    </row>
    <row r="390" spans="4:36" ht="12.9" customHeight="1">
      <c r="D390" s="41" t="s">
        <v>2206</v>
      </c>
      <c r="AG390" s="832"/>
      <c r="AH390" s="832"/>
      <c r="AI390" s="1116" t="s">
        <v>482</v>
      </c>
      <c r="AJ390" s="1116"/>
    </row>
    <row r="391" spans="4:36" ht="12.9" customHeight="1">
      <c r="D391" s="41" t="s">
        <v>1968</v>
      </c>
      <c r="T391" s="1129"/>
      <c r="U391" s="1129"/>
      <c r="V391" s="1129"/>
      <c r="W391" s="1129"/>
      <c r="X391" s="1129"/>
      <c r="Y391" s="1129"/>
      <c r="Z391" s="1129"/>
      <c r="AA391" s="1129"/>
      <c r="AB391" s="1129"/>
      <c r="AC391" s="1129"/>
      <c r="AD391" s="1129"/>
      <c r="AE391" s="1129"/>
      <c r="AF391" s="1129"/>
      <c r="AG391" s="1129"/>
      <c r="AH391" s="1129"/>
      <c r="AI391" s="1129"/>
      <c r="AJ391" s="1129"/>
    </row>
    <row r="392" spans="4:36" ht="12.9" customHeight="1">
      <c r="D392" s="41" t="s">
        <v>1969</v>
      </c>
      <c r="T392" s="1129"/>
      <c r="U392" s="1129"/>
      <c r="V392" s="1129"/>
      <c r="W392" s="1129"/>
      <c r="X392" s="1129"/>
      <c r="Y392" s="1129"/>
      <c r="Z392" s="1129"/>
      <c r="AA392" s="1129"/>
      <c r="AB392" s="1129"/>
      <c r="AC392" s="1129"/>
      <c r="AD392" s="1129"/>
      <c r="AE392" s="1129"/>
      <c r="AF392" s="1129"/>
      <c r="AG392" s="1129"/>
      <c r="AH392" s="1129"/>
      <c r="AI392" s="1129"/>
      <c r="AJ392" s="1129"/>
    </row>
    <row r="393" spans="4:36" ht="12.9" customHeight="1">
      <c r="AG393" s="832"/>
      <c r="AH393" s="832"/>
      <c r="AI393" s="832"/>
      <c r="AJ393" s="832"/>
    </row>
    <row r="394" spans="4:36" ht="12.9" customHeight="1">
      <c r="D394" s="41" t="s">
        <v>1970</v>
      </c>
      <c r="S394" s="1129" t="s">
        <v>482</v>
      </c>
      <c r="T394" s="1129"/>
      <c r="U394" s="1129"/>
      <c r="V394" t="s">
        <v>1971</v>
      </c>
      <c r="AG394" s="1475"/>
      <c r="AH394" s="1475"/>
      <c r="AI394" s="1475"/>
      <c r="AJ394" s="1475"/>
    </row>
    <row r="395" spans="4:36" ht="12.9" customHeight="1">
      <c r="D395" s="41" t="s">
        <v>1972</v>
      </c>
      <c r="S395" s="1129" t="s">
        <v>124</v>
      </c>
      <c r="T395" s="1129"/>
      <c r="U395" s="1129"/>
      <c r="V395" t="s">
        <v>1973</v>
      </c>
      <c r="AE395" s="1130"/>
      <c r="AF395" s="1130"/>
      <c r="AG395" s="1130"/>
      <c r="AH395" s="1130"/>
      <c r="AI395" s="1130"/>
      <c r="AJ395" s="1130"/>
    </row>
    <row r="396" spans="4:36" ht="12.9" customHeight="1">
      <c r="D396" s="41" t="s">
        <v>1974</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2.9" customHeight="1">
      <c r="D397" s="41" t="s">
        <v>1975</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2.9" customHeight="1">
      <c r="D398" s="41" t="s">
        <v>1976</v>
      </c>
      <c r="E398" s="813"/>
      <c r="F398" s="813"/>
      <c r="G398" s="813"/>
      <c r="H398" s="813"/>
      <c r="I398" s="813"/>
      <c r="J398" s="813"/>
      <c r="K398" s="813"/>
      <c r="L398" s="813"/>
      <c r="M398" s="813"/>
      <c r="N398" s="813"/>
      <c r="O398" s="813"/>
      <c r="P398" s="813"/>
      <c r="Q398" s="813"/>
      <c r="R398" s="813"/>
      <c r="S398" s="1477" t="s">
        <v>1977</v>
      </c>
      <c r="T398" s="1477"/>
      <c r="U398" s="1477"/>
      <c r="V398" s="1477"/>
      <c r="W398" s="1477"/>
      <c r="X398" s="1477"/>
      <c r="Y398" s="1477"/>
      <c r="Z398" s="1477"/>
      <c r="AA398" s="1477"/>
      <c r="AB398" s="1477"/>
      <c r="AC398" s="1477"/>
      <c r="AD398" s="1477"/>
      <c r="AE398" s="1477"/>
      <c r="AF398" s="1477"/>
      <c r="AG398" s="1477"/>
      <c r="AH398" s="1477"/>
      <c r="AI398" s="1477"/>
      <c r="AJ398" s="1477"/>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1735</v>
      </c>
      <c r="I403" s="1317" t="s">
        <v>2421</v>
      </c>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row>
    <row r="404" spans="1:36" ht="12.9" customHeight="1">
      <c r="E404" t="s">
        <v>855</v>
      </c>
      <c r="R404" s="1116" t="s">
        <v>124</v>
      </c>
      <c r="S404" s="1116"/>
      <c r="T404" t="s">
        <v>291</v>
      </c>
      <c r="AD404" s="1114">
        <v>0</v>
      </c>
      <c r="AE404" s="1114"/>
    </row>
    <row r="405" spans="1:36" ht="12.9" customHeight="1">
      <c r="E405" t="s">
        <v>856</v>
      </c>
      <c r="R405" s="1116" t="s">
        <v>124</v>
      </c>
      <c r="S405" s="1116"/>
      <c r="T405" t="s">
        <v>291</v>
      </c>
      <c r="AD405" s="1114">
        <v>0</v>
      </c>
      <c r="AE405" s="1114"/>
    </row>
    <row r="406" spans="1:36" ht="12.9" customHeight="1">
      <c r="E406" t="s">
        <v>857</v>
      </c>
      <c r="S406" s="1116" t="s">
        <v>124</v>
      </c>
      <c r="T406" s="1116"/>
    </row>
    <row r="407" spans="1:36" ht="12.9" customHeight="1">
      <c r="E407" t="s">
        <v>283</v>
      </c>
      <c r="H407" s="1569" t="s">
        <v>2455</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2.9"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9" customHeight="1"/>
    <row r="410" spans="1:36" ht="12.9" customHeight="1">
      <c r="A410" s="3" t="s">
        <v>123</v>
      </c>
      <c r="B410" s="3"/>
      <c r="C410" s="3"/>
      <c r="D410" s="3" t="s">
        <v>902</v>
      </c>
      <c r="AE410" s="5"/>
      <c r="AF410" s="3" t="s">
        <v>1214</v>
      </c>
    </row>
    <row r="411" spans="1:36" ht="12.9" customHeight="1">
      <c r="E411" s="1432"/>
      <c r="F411" s="1432"/>
      <c r="G411" s="1432"/>
      <c r="H411" s="18" t="s">
        <v>903</v>
      </c>
      <c r="I411" s="1432"/>
      <c r="J411" s="1432"/>
      <c r="K411" s="1432"/>
      <c r="L411" t="s">
        <v>904</v>
      </c>
      <c r="N411" s="34" t="s">
        <v>851</v>
      </c>
      <c r="P411" s="1434">
        <v>5.2060000000000004</v>
      </c>
      <c r="Q411" s="1434"/>
      <c r="R411" s="1434"/>
      <c r="S411" t="s">
        <v>905</v>
      </c>
      <c r="W411" s="1435">
        <f>IF(E411&gt;0,(E411*I411),(P411*43560))</f>
        <v>226773.36000000002</v>
      </c>
      <c r="X411" s="1435"/>
      <c r="Y411" s="1435"/>
      <c r="Z411" t="s">
        <v>906</v>
      </c>
      <c r="AF411" s="1492" cm="1">
        <f t="array" ref="AF411">_xlfn.IFS(P411&gt;0,(AG430/P411),W411&gt;0,(AG430/(W411/43560)),TRUE,0)</f>
        <v>4.0338071456012292</v>
      </c>
      <c r="AG411" s="1492"/>
      <c r="AH411" s="1492"/>
    </row>
    <row r="412" spans="1:36" ht="12.9" customHeight="1">
      <c r="E412" t="s">
        <v>203</v>
      </c>
    </row>
    <row r="413" spans="1:36" ht="12.9"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2.9" customHeight="1">
      <c r="E414" s="270" t="s">
        <v>1979</v>
      </c>
      <c r="F414" s="29"/>
      <c r="G414" s="29"/>
      <c r="H414" s="29"/>
      <c r="I414" s="1470">
        <v>5.2</v>
      </c>
      <c r="J414" s="1470"/>
      <c r="K414" s="1470"/>
      <c r="L414" s="29"/>
      <c r="M414" s="270"/>
      <c r="N414" s="29"/>
      <c r="O414" s="29"/>
      <c r="P414" s="1491">
        <f>(CQ628+CS633+CQ647)/I414</f>
        <v>4.8076923076923075</v>
      </c>
      <c r="Q414" s="1491"/>
      <c r="R414" s="1491"/>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16">
        <v>22</v>
      </c>
      <c r="Q417" s="1116"/>
      <c r="S417" t="s">
        <v>134</v>
      </c>
      <c r="AE417" s="1116">
        <v>21</v>
      </c>
      <c r="AF417" s="1116"/>
    </row>
    <row r="418" spans="1:36" ht="12.9" customHeight="1">
      <c r="E418" t="s">
        <v>135</v>
      </c>
      <c r="P418" s="1116">
        <v>1</v>
      </c>
      <c r="Q418" s="1116"/>
      <c r="S418" t="s">
        <v>726</v>
      </c>
      <c r="AE418" s="1116" t="s">
        <v>124</v>
      </c>
      <c r="AF418" s="1116"/>
    </row>
    <row r="419" spans="1:36" ht="12.9" customHeight="1">
      <c r="F419" s="36" t="s">
        <v>221</v>
      </c>
    </row>
    <row r="420" spans="1:36" ht="12.9"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2.9"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2.9" customHeight="1">
      <c r="E422" t="s">
        <v>858</v>
      </c>
      <c r="P422" s="1"/>
      <c r="Q422" s="1116" t="s">
        <v>108</v>
      </c>
      <c r="R422" s="1116"/>
      <c r="AE422" s="1"/>
      <c r="AF422" s="1"/>
    </row>
    <row r="423" spans="1:36" ht="12.9" customHeight="1">
      <c r="F423" t="s">
        <v>859</v>
      </c>
      <c r="P423" s="1"/>
      <c r="Q423" s="1"/>
      <c r="AE423" s="1116" t="s">
        <v>124</v>
      </c>
      <c r="AF423" s="1343"/>
    </row>
    <row r="424" spans="1:36" ht="12.9" customHeight="1"/>
    <row r="425" spans="1:36" ht="12.9" customHeight="1">
      <c r="A425" s="3"/>
      <c r="B425" s="3"/>
      <c r="C425" s="3"/>
      <c r="E425" s="5" t="s">
        <v>80</v>
      </c>
      <c r="Z425" s="1116" t="s">
        <v>108</v>
      </c>
      <c r="AA425" s="111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6" t="s">
        <v>482</v>
      </c>
      <c r="AA427" s="1116"/>
    </row>
    <row r="428" spans="1:36" ht="12.9" customHeight="1"/>
    <row r="429" spans="1:36" ht="12.9" customHeight="1">
      <c r="A429" s="3" t="s">
        <v>367</v>
      </c>
      <c r="B429" s="3"/>
      <c r="C429" s="3"/>
      <c r="D429" s="3" t="s">
        <v>172</v>
      </c>
      <c r="AF429" s="54"/>
    </row>
    <row r="430" spans="1:36" ht="12.9"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3"/>
      <c r="AG430" s="1468">
        <v>21</v>
      </c>
      <c r="AH430" s="1468"/>
      <c r="AI430" s="1468"/>
      <c r="AJ430" s="1468"/>
    </row>
    <row r="431" spans="1:36" ht="12.9" customHeight="1">
      <c r="D431" s="1433" t="s">
        <v>2272</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8">
        <v>20</v>
      </c>
      <c r="AH432" s="1468"/>
      <c r="AI432" s="1468"/>
      <c r="AJ432" s="1468"/>
    </row>
    <row r="433" spans="4:36" ht="12.9"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8">
        <v>20</v>
      </c>
      <c r="AH433" s="1468"/>
      <c r="AI433" s="1468"/>
      <c r="AJ433" s="1468"/>
    </row>
    <row r="434" spans="4:36" ht="12.9"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7">
        <v>10926</v>
      </c>
      <c r="AH435" s="1427"/>
      <c r="AI435" s="1427"/>
      <c r="AJ435" s="1427"/>
    </row>
    <row r="436" spans="4:36" ht="12.9"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7">
        <v>10926</v>
      </c>
      <c r="AH436" s="1427"/>
      <c r="AI436" s="1427"/>
      <c r="AJ436" s="1427"/>
    </row>
    <row r="437" spans="4:36" ht="12.9"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 customHeight="1">
      <c r="D439" s="1433" t="s">
        <v>2111</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3"/>
      <c r="AG439" s="1427">
        <v>240</v>
      </c>
      <c r="AH439" s="1427"/>
      <c r="AI439" s="1427"/>
      <c r="AJ439" s="1427"/>
    </row>
    <row r="440" spans="4:36" ht="12.9"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7">
        <v>0</v>
      </c>
      <c r="AH440" s="1427"/>
      <c r="AI440" s="1427"/>
      <c r="AJ440" s="1427"/>
    </row>
    <row r="441" spans="4:36" ht="12.9" customHeight="1">
      <c r="D441" s="1433" t="s">
        <v>1736</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7">
        <f>240+522</f>
        <v>762</v>
      </c>
      <c r="AH441" s="1427"/>
      <c r="AI441" s="1427"/>
      <c r="AJ441" s="1427"/>
    </row>
    <row r="442" spans="4:36" ht="12.9"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7">
        <v>0</v>
      </c>
      <c r="AH442" s="1427"/>
      <c r="AI442" s="1427"/>
      <c r="AJ442" s="1427"/>
    </row>
    <row r="443" spans="4:36" ht="12.9"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9">
        <f>AG435+AG439+AG441+AG442</f>
        <v>11928</v>
      </c>
      <c r="AH443" s="1469"/>
      <c r="AI443" s="1469"/>
      <c r="AJ443" s="1469"/>
    </row>
    <row r="444" spans="4:36" ht="12.9" customHeight="1">
      <c r="D444" s="1471" t="s">
        <v>1737</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2.9"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2.9"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944036.61904761905</v>
      </c>
      <c r="AD447" s="1157"/>
      <c r="AE447" s="1157"/>
      <c r="AF447" s="1157"/>
      <c r="AG447" s="1478"/>
      <c r="AH447" s="1478"/>
      <c r="AI447" s="1478"/>
      <c r="AJ447" s="1478"/>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944036.61904761905</v>
      </c>
      <c r="AD448" s="1157"/>
      <c r="AE448" s="1157"/>
      <c r="AF448" s="1157"/>
      <c r="AG448" s="1478"/>
      <c r="AH448" s="1478"/>
      <c r="AI448" s="1478"/>
      <c r="AJ448" s="1478"/>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752006.61904761905</v>
      </c>
      <c r="AD449" s="1157"/>
      <c r="AE449" s="1157"/>
      <c r="AF449" s="1157"/>
      <c r="AG449" s="362"/>
      <c r="AH449" s="362"/>
      <c r="AI449" s="362"/>
      <c r="AJ449" s="362"/>
    </row>
    <row r="450" spans="1:38" ht="12.9" customHeight="1">
      <c r="D450" s="373"/>
      <c r="E450" s="307"/>
      <c r="F450" s="157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2.9"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8" t="s">
        <v>2103</v>
      </c>
      <c r="E460" s="1119"/>
      <c r="F460" s="1119"/>
      <c r="G460" s="1119"/>
      <c r="H460" s="1119"/>
      <c r="I460" s="1119"/>
      <c r="J460" s="1119"/>
      <c r="K460" s="1119"/>
      <c r="L460" s="1119"/>
      <c r="M460" s="1119"/>
      <c r="N460" s="1119"/>
      <c r="O460" s="1119"/>
      <c r="P460" s="1119"/>
      <c r="Q460" s="1119"/>
      <c r="R460" s="1119"/>
      <c r="S460" s="1119"/>
      <c r="T460" s="1119"/>
      <c r="U460" s="1119"/>
      <c r="V460" s="1120"/>
      <c r="W460" s="1124">
        <v>0</v>
      </c>
      <c r="X460" s="1125"/>
      <c r="Y460" s="1126"/>
      <c r="Z460" s="310"/>
      <c r="AA460" s="310"/>
      <c r="AB460" s="310"/>
      <c r="AC460" s="310"/>
      <c r="AD460" s="310"/>
      <c r="AE460" s="310"/>
      <c r="AF460" s="310"/>
      <c r="AG460" s="310"/>
      <c r="AH460" s="310"/>
      <c r="AI460" s="310"/>
      <c r="AJ460" s="41"/>
      <c r="AK460" s="41"/>
      <c r="AL460" s="41"/>
    </row>
    <row r="461" spans="1:38" ht="12.9"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 customHeight="1">
      <c r="A464" s="41"/>
      <c r="B464" s="41"/>
      <c r="C464" s="41"/>
      <c r="D464" s="1485"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 customHeight="1">
      <c r="A466" s="557"/>
      <c r="B466" s="557"/>
      <c r="C466" s="557"/>
      <c r="D466" s="1485" t="s">
        <v>1308</v>
      </c>
      <c r="E466" s="1489"/>
      <c r="F466" s="1489"/>
      <c r="G466" s="1489"/>
      <c r="H466" s="1489"/>
      <c r="I466" s="1489"/>
      <c r="J466" s="1489"/>
      <c r="K466" s="1489"/>
      <c r="L466" s="1489"/>
      <c r="M466" s="1489"/>
      <c r="N466" s="1489"/>
      <c r="O466" s="1489"/>
      <c r="P466" s="1489"/>
      <c r="Q466" s="1489"/>
      <c r="R466" s="1489"/>
      <c r="S466" s="1489"/>
      <c r="T466" s="1489"/>
      <c r="U466" s="1489"/>
      <c r="V466" s="1490"/>
      <c r="W466" s="1465">
        <v>0</v>
      </c>
      <c r="X466" s="1466"/>
      <c r="Y466" s="1467"/>
      <c r="Z466" s="558"/>
      <c r="AA466" s="558"/>
      <c r="AB466" s="558"/>
      <c r="AC466" s="558"/>
      <c r="AD466" s="559"/>
      <c r="AE466" s="559"/>
      <c r="AF466" s="559"/>
      <c r="AG466" s="559"/>
      <c r="AH466" s="559"/>
      <c r="AI466" s="559"/>
      <c r="AJ466" s="362"/>
    </row>
    <row r="467" spans="1:97" ht="12.9" customHeight="1">
      <c r="A467" s="557"/>
      <c r="B467" s="557"/>
      <c r="C467" s="557"/>
      <c r="D467" s="1118" t="s">
        <v>2281</v>
      </c>
      <c r="E467" s="1119"/>
      <c r="F467" s="1119"/>
      <c r="G467" s="1119"/>
      <c r="H467" s="1119"/>
      <c r="I467" s="1119"/>
      <c r="J467" s="1119"/>
      <c r="K467" s="1119"/>
      <c r="L467" s="1119"/>
      <c r="M467" s="1119"/>
      <c r="N467" s="1119"/>
      <c r="O467" s="1119"/>
      <c r="P467" s="1119"/>
      <c r="Q467" s="1119"/>
      <c r="R467" s="1119"/>
      <c r="S467" s="1119"/>
      <c r="T467" s="1119"/>
      <c r="U467" s="1119"/>
      <c r="V467" s="1120"/>
      <c r="W467" s="1465">
        <v>20</v>
      </c>
      <c r="X467" s="1466"/>
      <c r="Y467" s="1467"/>
      <c r="Z467" s="558"/>
      <c r="AA467" s="558"/>
      <c r="AB467" s="558"/>
      <c r="AC467" s="558"/>
      <c r="AD467" s="559"/>
      <c r="AE467" s="559"/>
      <c r="AF467" s="559"/>
      <c r="AG467" s="559"/>
      <c r="AH467" s="559"/>
      <c r="AI467" s="559"/>
      <c r="AJ467" s="362"/>
    </row>
    <row r="468" spans="1:97" ht="12.9" customHeight="1">
      <c r="A468" s="41"/>
      <c r="B468" s="41"/>
      <c r="C468" s="41"/>
      <c r="D468" s="1118" t="s">
        <v>2216</v>
      </c>
      <c r="E468" s="1489"/>
      <c r="F468" s="1489"/>
      <c r="G468" s="1489"/>
      <c r="H468" s="1489"/>
      <c r="I468" s="1489"/>
      <c r="J468" s="1489"/>
      <c r="K468" s="1489"/>
      <c r="L468" s="1489"/>
      <c r="M468" s="1489"/>
      <c r="N468" s="1489"/>
      <c r="O468" s="1489"/>
      <c r="P468" s="1489"/>
      <c r="Q468" s="1489"/>
      <c r="R468" s="1489"/>
      <c r="S468" s="1489"/>
      <c r="T468" s="1489"/>
      <c r="U468" s="1489"/>
      <c r="V468" s="1490"/>
      <c r="W468" s="1465">
        <v>0</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4">
        <v>0</v>
      </c>
      <c r="X469" s="1125"/>
      <c r="Y469" s="112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7" t="s">
        <v>2422</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7" t="s">
        <v>2422</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7" t="s">
        <v>2422</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9" t="s">
        <v>242</v>
      </c>
      <c r="C485" s="1480"/>
      <c r="D485" s="1480"/>
      <c r="E485" s="1480"/>
      <c r="F485" s="1480"/>
      <c r="G485" s="1480"/>
      <c r="H485" s="1480"/>
      <c r="I485" s="1480"/>
      <c r="J485" s="1480"/>
      <c r="K485" s="1480"/>
      <c r="L485" s="1480"/>
      <c r="M485" s="1480"/>
      <c r="N485" s="1480"/>
      <c r="O485" s="1480"/>
      <c r="P485" s="1481"/>
      <c r="Q485" s="1493" t="s">
        <v>482</v>
      </c>
      <c r="R485" s="1494"/>
      <c r="S485" s="1497" t="s">
        <v>53</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503" t="s">
        <v>2423</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7" t="s">
        <v>124</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81">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81">
        <v>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40"/>
      <c r="N491" s="1145"/>
      <c r="O491" s="1145"/>
      <c r="P491" s="1341"/>
      <c r="Q491" s="214" t="s">
        <v>1984</v>
      </c>
      <c r="R491" s="9"/>
      <c r="S491" s="9"/>
      <c r="T491" s="9"/>
      <c r="U491" s="9"/>
      <c r="V491" s="9"/>
      <c r="W491" s="9"/>
      <c r="X491" s="9"/>
      <c r="Y491" s="9"/>
      <c r="Z491" s="9"/>
      <c r="AA491" s="9"/>
      <c r="AB491" s="9"/>
      <c r="AC491" s="9"/>
      <c r="AD491" s="9"/>
      <c r="AE491" s="9"/>
      <c r="AF491" s="9"/>
      <c r="AG491" s="9"/>
      <c r="AH491" s="1340"/>
      <c r="AI491" s="1145"/>
      <c r="AJ491" s="1145"/>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t="s">
        <v>124</v>
      </c>
      <c r="AD497" s="1114"/>
      <c r="AE497" s="1114"/>
      <c r="AF497" s="1114"/>
      <c r="AG497" s="18" t="s">
        <v>248</v>
      </c>
      <c r="AH497" s="1143">
        <v>0</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2</v>
      </c>
      <c r="AD498" s="1114"/>
      <c r="AE498" s="1114"/>
      <c r="AF498" s="1114"/>
      <c r="AG498" s="47" t="s">
        <v>248</v>
      </c>
      <c r="AH498" s="1143">
        <v>2022</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5"/>
      <c r="C503" s="1136"/>
      <c r="D503" s="1136"/>
      <c r="E503" s="1136"/>
      <c r="F503" s="1136"/>
      <c r="G503" s="1136"/>
      <c r="H503" s="1137"/>
      <c r="I503" s="41" t="s">
        <v>678</v>
      </c>
      <c r="AC503" s="1080" t="s">
        <v>124</v>
      </c>
      <c r="AD503" s="1081"/>
      <c r="AE503" s="1081"/>
      <c r="AF503" s="1081"/>
      <c r="AG503" s="18" t="s">
        <v>248</v>
      </c>
      <c r="AH503" s="1143"/>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5"/>
      <c r="C504" s="1136"/>
      <c r="D504" s="1136"/>
      <c r="E504" s="1136"/>
      <c r="F504" s="1136"/>
      <c r="G504" s="1136"/>
      <c r="H504" s="1137"/>
      <c r="I504" s="410" t="s">
        <v>283</v>
      </c>
      <c r="J504" s="54"/>
      <c r="K504" s="54"/>
      <c r="L504" s="1150" t="s">
        <v>562</v>
      </c>
      <c r="M504" s="1129"/>
      <c r="N504" s="1129"/>
      <c r="O504" s="1129"/>
      <c r="P504" s="1129"/>
      <c r="Q504" s="1129"/>
      <c r="R504" s="1129"/>
      <c r="S504" s="1129"/>
      <c r="T504" s="1129"/>
      <c r="U504" s="1129"/>
      <c r="V504" s="1129"/>
      <c r="W504" s="1129"/>
      <c r="X504" s="1129"/>
      <c r="Y504" s="1129"/>
      <c r="Z504" s="1129"/>
      <c r="AA504" s="1129"/>
      <c r="AB504" s="1151"/>
      <c r="AC504" s="1431" t="s">
        <v>124</v>
      </c>
      <c r="AD504" s="1322"/>
      <c r="AE504" s="1322"/>
      <c r="AF504" s="1322"/>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5"/>
      <c r="C505" s="1136"/>
      <c r="D505" s="1136"/>
      <c r="E505" s="1136"/>
      <c r="F505" s="1136"/>
      <c r="G505" s="1136"/>
      <c r="H505" s="1137"/>
      <c r="I505" s="41" t="s">
        <v>1985</v>
      </c>
      <c r="AC505" s="1428" t="s">
        <v>108</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5"/>
      <c r="C506" s="1136"/>
      <c r="D506" s="1136"/>
      <c r="E506" s="1136"/>
      <c r="F506" s="1136"/>
      <c r="G506" s="1136"/>
      <c r="H506" s="1137"/>
      <c r="I506" t="s">
        <v>1986</v>
      </c>
      <c r="AC506" s="1080"/>
      <c r="AD506" s="1081"/>
      <c r="AE506" s="1081"/>
      <c r="AF506" s="1082"/>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5"/>
      <c r="C507" s="1136"/>
      <c r="D507" s="1136"/>
      <c r="E507" s="1136"/>
      <c r="F507" s="1136"/>
      <c r="G507" s="1136"/>
      <c r="H507" s="1137"/>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5"/>
      <c r="C508" s="1136"/>
      <c r="D508" s="1136"/>
      <c r="E508" s="1136"/>
      <c r="F508" s="1136"/>
      <c r="G508" s="1136"/>
      <c r="H508" s="1137"/>
      <c r="I508" s="838" t="s">
        <v>1988</v>
      </c>
      <c r="J508" s="54"/>
      <c r="K508" s="54"/>
      <c r="L508" s="54"/>
      <c r="M508" s="54"/>
      <c r="N508" s="54"/>
      <c r="O508" s="54"/>
      <c r="P508" s="54"/>
      <c r="Q508" s="54"/>
      <c r="R508" s="54"/>
      <c r="S508" s="54"/>
      <c r="T508" s="54"/>
      <c r="U508" s="54"/>
      <c r="V508" s="54"/>
      <c r="W508" s="54"/>
      <c r="X508" s="54"/>
      <c r="Y508" s="54"/>
      <c r="Z508" s="54"/>
      <c r="AA508" s="54"/>
      <c r="AB508" s="54"/>
      <c r="AC508" s="1486">
        <v>1</v>
      </c>
      <c r="AD508" s="1487"/>
      <c r="AE508" s="1487"/>
      <c r="AF508" s="1488"/>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6</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5"/>
      <c r="C510" s="1136"/>
      <c r="D510" s="1136"/>
      <c r="E510" s="1136"/>
      <c r="F510" s="1136"/>
      <c r="G510" s="1136"/>
      <c r="H510" s="1137"/>
      <c r="I510" t="s">
        <v>681</v>
      </c>
      <c r="AC510" s="1117">
        <v>6</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4</v>
      </c>
      <c r="AD511" s="1114"/>
      <c r="AE511" s="1114"/>
      <c r="AF511" s="1114"/>
      <c r="AG511" s="47"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11">
        <v>6</v>
      </c>
      <c r="AD512" s="1312"/>
      <c r="AE512" s="1312"/>
      <c r="AF512" s="1312"/>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5"/>
      <c r="C513" s="1136"/>
      <c r="D513" s="1136"/>
      <c r="E513" s="1136"/>
      <c r="F513" s="1136"/>
      <c r="G513" s="1136"/>
      <c r="H513" s="1137"/>
      <c r="I513" t="s">
        <v>681</v>
      </c>
      <c r="AC513" s="1117">
        <v>6</v>
      </c>
      <c r="AD513" s="1114"/>
      <c r="AE513" s="1114"/>
      <c r="AF513" s="1114"/>
      <c r="AG513" s="18" t="s">
        <v>248</v>
      </c>
      <c r="AH513" s="1143">
        <v>2024</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4</v>
      </c>
      <c r="AD514" s="1114"/>
      <c r="AE514" s="1114"/>
      <c r="AF514" s="1114"/>
      <c r="AG514" s="47" t="s">
        <v>248</v>
      </c>
      <c r="AH514" s="1143">
        <v>2025</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2" t="s">
        <v>684</v>
      </c>
      <c r="C515" s="1133"/>
      <c r="D515" s="1133"/>
      <c r="E515" s="1133"/>
      <c r="F515" s="1133"/>
      <c r="G515" s="1133"/>
      <c r="H515" s="1134"/>
      <c r="I515" s="6" t="s">
        <v>685</v>
      </c>
      <c r="J515" s="7"/>
      <c r="K515" s="7"/>
      <c r="L515" s="7"/>
      <c r="M515" s="7"/>
      <c r="N515" s="7"/>
      <c r="O515" s="1150" t="s">
        <v>2424</v>
      </c>
      <c r="P515" s="1129"/>
      <c r="Q515" s="1129"/>
      <c r="R515" s="1129"/>
      <c r="S515" s="1129"/>
      <c r="T515" s="1129"/>
      <c r="U515" s="1129"/>
      <c r="V515" s="1129"/>
      <c r="W515" s="1129"/>
      <c r="X515" s="1129"/>
      <c r="Y515" s="1129"/>
      <c r="Z515" s="1129"/>
      <c r="AA515" s="1129"/>
      <c r="AB515" s="64"/>
      <c r="AC515" s="1311" t="s">
        <v>124</v>
      </c>
      <c r="AD515" s="1312"/>
      <c r="AE515" s="1312"/>
      <c r="AF515" s="1312"/>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5"/>
      <c r="C516" s="1136"/>
      <c r="D516" s="1136"/>
      <c r="E516" s="1136"/>
      <c r="F516" s="1136"/>
      <c r="G516" s="1136"/>
      <c r="H516" s="1137"/>
      <c r="I516" s="204" t="s">
        <v>686</v>
      </c>
      <c r="AB516" s="71"/>
      <c r="AC516" s="1117">
        <v>10</v>
      </c>
      <c r="AD516" s="1114"/>
      <c r="AE516" s="1114"/>
      <c r="AF516" s="1114"/>
      <c r="AG516" s="18" t="s">
        <v>248</v>
      </c>
      <c r="AH516" s="1143">
        <v>2021</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4</v>
      </c>
      <c r="AD517" s="1114"/>
      <c r="AE517" s="1114"/>
      <c r="AF517" s="1114"/>
      <c r="AG517" s="47" t="s">
        <v>248</v>
      </c>
      <c r="AH517" s="1143">
        <v>2022</v>
      </c>
      <c r="AI517" s="1143"/>
      <c r="AJ517" s="1143"/>
      <c r="AK517" s="1144"/>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5"/>
      <c r="C518" s="1136"/>
      <c r="D518" s="1136"/>
      <c r="E518" s="1136"/>
      <c r="F518" s="1136"/>
      <c r="G518" s="1136"/>
      <c r="H518" s="1137"/>
      <c r="I518" s="7" t="s">
        <v>688</v>
      </c>
      <c r="J518" s="7"/>
      <c r="K518" s="7"/>
      <c r="L518" s="7"/>
      <c r="M518" s="7"/>
      <c r="N518" s="7"/>
      <c r="O518" s="1150" t="s">
        <v>562</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5"/>
      <c r="C519" s="1136"/>
      <c r="D519" s="1136"/>
      <c r="E519" s="1136"/>
      <c r="F519" s="1136"/>
      <c r="G519" s="1136"/>
      <c r="H519" s="1137"/>
      <c r="I519" t="s">
        <v>686</v>
      </c>
      <c r="AC519" s="1117" t="s">
        <v>124</v>
      </c>
      <c r="AD519" s="1114"/>
      <c r="AE519" s="1114"/>
      <c r="AF519" s="1114"/>
      <c r="AG519" s="18" t="s">
        <v>248</v>
      </c>
      <c r="AH519" s="1143"/>
      <c r="AI519" s="1143"/>
      <c r="AJ519" s="1143"/>
      <c r="AK519" s="1144"/>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124</v>
      </c>
      <c r="AD520" s="1114"/>
      <c r="AE520" s="1114"/>
      <c r="AF520" s="1114"/>
      <c r="AG520" s="47" t="s">
        <v>248</v>
      </c>
      <c r="AH520" s="1143"/>
      <c r="AI520" s="1143"/>
      <c r="AJ520" s="1143"/>
      <c r="AK520" s="1144"/>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5"/>
      <c r="C521" s="1136"/>
      <c r="D521" s="1136"/>
      <c r="E521" s="1136"/>
      <c r="F521" s="1136"/>
      <c r="G521" s="1136"/>
      <c r="H521" s="1137"/>
      <c r="I521" s="7" t="s">
        <v>688</v>
      </c>
      <c r="J521" s="7"/>
      <c r="K521" s="7"/>
      <c r="L521" s="7"/>
      <c r="M521" s="7"/>
      <c r="N521" s="7"/>
      <c r="O521" s="1150" t="s">
        <v>562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5"/>
      <c r="C522" s="1136"/>
      <c r="D522" s="1136"/>
      <c r="E522" s="1136"/>
      <c r="F522" s="1136"/>
      <c r="G522" s="1136"/>
      <c r="H522" s="1137"/>
      <c r="I522" t="s">
        <v>686</v>
      </c>
      <c r="AC522" s="1117" t="s">
        <v>124</v>
      </c>
      <c r="AD522" s="1114"/>
      <c r="AE522" s="1114"/>
      <c r="AF522" s="1114"/>
      <c r="AG522" s="18" t="s">
        <v>248</v>
      </c>
      <c r="AH522" s="1143"/>
      <c r="AI522" s="1143"/>
      <c r="AJ522" s="1143"/>
      <c r="AK522" s="1144"/>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124</v>
      </c>
      <c r="AD523" s="1114"/>
      <c r="AE523" s="1114"/>
      <c r="AF523" s="1114"/>
      <c r="AG523" s="47" t="s">
        <v>248</v>
      </c>
      <c r="AH523" s="1143"/>
      <c r="AI523" s="1143"/>
      <c r="AJ523" s="1143"/>
      <c r="AK523" s="1144"/>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5"/>
      <c r="C524" s="1136"/>
      <c r="D524" s="1136"/>
      <c r="E524" s="1136"/>
      <c r="F524" s="1136"/>
      <c r="G524" s="1136"/>
      <c r="H524" s="1137"/>
      <c r="I524" s="7" t="s">
        <v>688</v>
      </c>
      <c r="J524" s="7"/>
      <c r="K524" s="7"/>
      <c r="L524" s="7"/>
      <c r="M524" s="7"/>
      <c r="N524" s="7"/>
      <c r="O524" s="1150"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5"/>
      <c r="C527" s="1136"/>
      <c r="D527" s="1136"/>
      <c r="E527" s="1136"/>
      <c r="F527" s="1136"/>
      <c r="G527" s="1136"/>
      <c r="H527" s="1137"/>
      <c r="I527" s="7" t="s">
        <v>688</v>
      </c>
      <c r="J527" s="7"/>
      <c r="K527" s="7"/>
      <c r="L527" s="7"/>
      <c r="M527" s="7"/>
      <c r="N527" s="7"/>
      <c r="O527" s="1150"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5"/>
      <c r="C530" s="1136"/>
      <c r="D530" s="1136"/>
      <c r="E530" s="1136"/>
      <c r="F530" s="1136"/>
      <c r="G530" s="1136"/>
      <c r="H530" s="1137"/>
      <c r="I530" s="7" t="s">
        <v>688</v>
      </c>
      <c r="J530" s="7"/>
      <c r="K530" s="7"/>
      <c r="L530" s="7"/>
      <c r="M530" s="7"/>
      <c r="N530" s="7"/>
      <c r="O530" s="1150"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4</v>
      </c>
      <c r="AD533" s="1114"/>
      <c r="AE533" s="1114"/>
      <c r="AF533" s="1114"/>
      <c r="AG533" s="47" t="s">
        <v>248</v>
      </c>
      <c r="AH533" s="1143">
        <v>2026</v>
      </c>
      <c r="AI533" s="1143"/>
      <c r="AJ533" s="1143"/>
      <c r="AK533" s="1144"/>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5"/>
      <c r="C534" s="1136"/>
      <c r="D534" s="1136"/>
      <c r="E534" s="1136"/>
      <c r="F534" s="1136"/>
      <c r="G534" s="1136"/>
      <c r="H534" s="1137"/>
      <c r="I534" t="s">
        <v>736</v>
      </c>
      <c r="AC534" s="1117">
        <v>4</v>
      </c>
      <c r="AD534" s="1114"/>
      <c r="AE534" s="1114"/>
      <c r="AF534" s="1114"/>
      <c r="AG534" s="18" t="s">
        <v>248</v>
      </c>
      <c r="AH534" s="1143">
        <v>2025</v>
      </c>
      <c r="AI534" s="1143"/>
      <c r="AJ534" s="1143"/>
      <c r="AK534" s="1144"/>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5"/>
      <c r="C535" s="1136"/>
      <c r="D535" s="1136"/>
      <c r="E535" s="1136"/>
      <c r="F535" s="1136"/>
      <c r="G535" s="1136"/>
      <c r="H535" s="1137"/>
      <c r="I535" t="s">
        <v>737</v>
      </c>
      <c r="AC535" s="1117">
        <v>10</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5"/>
      <c r="C536" s="1136"/>
      <c r="D536" s="1136"/>
      <c r="E536" s="1136"/>
      <c r="F536" s="1136"/>
      <c r="G536" s="1136"/>
      <c r="H536" s="1137"/>
      <c r="I536" t="s">
        <v>738</v>
      </c>
      <c r="AC536" s="1117">
        <v>11</v>
      </c>
      <c r="AD536" s="1114"/>
      <c r="AE536" s="1114"/>
      <c r="AF536" s="1114"/>
      <c r="AG536" s="47" t="s">
        <v>248</v>
      </c>
      <c r="AH536" s="1143">
        <v>2026</v>
      </c>
      <c r="AI536" s="1143"/>
      <c r="AJ536" s="1143"/>
      <c r="AK536" s="1144"/>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12</v>
      </c>
      <c r="AD537" s="1114"/>
      <c r="AE537" s="1114"/>
      <c r="AF537" s="1114"/>
      <c r="AG537" s="47" t="s">
        <v>248</v>
      </c>
      <c r="AH537" s="1143">
        <v>2026</v>
      </c>
      <c r="AI537" s="1143"/>
      <c r="AJ537" s="1143"/>
      <c r="AK537" s="1144"/>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2" t="s">
        <v>2194</v>
      </c>
      <c r="C546" s="1133"/>
      <c r="D546" s="1133"/>
      <c r="E546" s="1133"/>
      <c r="F546" s="1133"/>
      <c r="G546" s="1133"/>
      <c r="H546" s="1133"/>
      <c r="I546" s="1133"/>
      <c r="J546" s="1133"/>
      <c r="K546" s="1133"/>
      <c r="L546" s="1133"/>
      <c r="M546" s="1146" t="s">
        <v>2168</v>
      </c>
      <c r="N546" s="1146"/>
      <c r="O546" s="1146"/>
      <c r="P546" s="1146"/>
      <c r="Q546" s="1132" t="s">
        <v>440</v>
      </c>
      <c r="R546" s="1133"/>
      <c r="S546" s="1134"/>
      <c r="T546" s="1132" t="s">
        <v>1989</v>
      </c>
      <c r="U546" s="1133"/>
      <c r="V546" s="1134"/>
      <c r="W546" s="1132" t="s">
        <v>740</v>
      </c>
      <c r="X546" s="1133"/>
      <c r="Y546" s="1134"/>
      <c r="Z546" s="1132" t="s">
        <v>1991</v>
      </c>
      <c r="AA546" s="1133"/>
      <c r="AB546" s="1133"/>
      <c r="AC546" s="1133"/>
      <c r="AD546" s="1134"/>
      <c r="AE546" s="1132" t="s">
        <v>1990</v>
      </c>
      <c r="AF546" s="1133"/>
      <c r="AG546" s="1133"/>
      <c r="AH546" s="1134"/>
      <c r="AI546" s="1132" t="s">
        <v>1992</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9" t="s">
        <v>2439</v>
      </c>
      <c r="D549" s="1099"/>
      <c r="E549" s="1099"/>
      <c r="F549" s="1099"/>
      <c r="G549" s="1099"/>
      <c r="H549" s="1099"/>
      <c r="I549" s="1099"/>
      <c r="J549" s="1099"/>
      <c r="K549" s="1099"/>
      <c r="L549" s="1099"/>
      <c r="M549" s="1098" t="s">
        <v>2178</v>
      </c>
      <c r="N549" s="1098"/>
      <c r="O549" s="1098"/>
      <c r="P549" s="1098"/>
      <c r="Q549" s="1101">
        <v>24</v>
      </c>
      <c r="R549" s="1101"/>
      <c r="S549" s="1102"/>
      <c r="T549" s="1100">
        <v>24</v>
      </c>
      <c r="U549" s="1101"/>
      <c r="V549" s="1102"/>
      <c r="W549" s="1439">
        <v>7.85E-2</v>
      </c>
      <c r="X549" s="1440"/>
      <c r="Y549" s="1441"/>
      <c r="Z549" s="1442" t="s">
        <v>1977</v>
      </c>
      <c r="AA549" s="1442"/>
      <c r="AB549" s="1442"/>
      <c r="AC549" s="1442"/>
      <c r="AD549" s="1442"/>
      <c r="AE549" s="1443"/>
      <c r="AF549" s="1444"/>
      <c r="AG549" s="1444"/>
      <c r="AH549" s="1445"/>
      <c r="AI549" s="1436"/>
      <c r="AJ549" s="1437"/>
      <c r="AK549" s="1437"/>
      <c r="AL549" s="1438"/>
      <c r="AM549" s="1217">
        <v>9142094</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9" t="s">
        <v>2426</v>
      </c>
      <c r="D550" s="1099"/>
      <c r="E550" s="1099"/>
      <c r="F550" s="1099"/>
      <c r="G550" s="1099"/>
      <c r="H550" s="1099"/>
      <c r="I550" s="1099"/>
      <c r="J550" s="1099"/>
      <c r="K550" s="1099"/>
      <c r="L550" s="1099"/>
      <c r="M550" s="1098" t="s">
        <v>2177</v>
      </c>
      <c r="N550" s="1098"/>
      <c r="O550" s="1098"/>
      <c r="P550" s="1098"/>
      <c r="Q550" s="1100"/>
      <c r="R550" s="1101"/>
      <c r="S550" s="1102"/>
      <c r="T550" s="1100"/>
      <c r="U550" s="1101"/>
      <c r="V550" s="1102"/>
      <c r="W550" s="1439"/>
      <c r="X550" s="1440"/>
      <c r="Y550" s="1441"/>
      <c r="Z550" s="1442" t="s">
        <v>1977</v>
      </c>
      <c r="AA550" s="1442"/>
      <c r="AB550" s="1442"/>
      <c r="AC550" s="1442"/>
      <c r="AD550" s="1442"/>
      <c r="AE550" s="1443"/>
      <c r="AF550" s="1444"/>
      <c r="AG550" s="1444"/>
      <c r="AH550" s="1445"/>
      <c r="AI550" s="1436"/>
      <c r="AJ550" s="1437"/>
      <c r="AK550" s="1437"/>
      <c r="AL550" s="1438"/>
      <c r="AM550" s="1217">
        <v>6425000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9" t="s">
        <v>2433</v>
      </c>
      <c r="D551" s="1099"/>
      <c r="E551" s="1099"/>
      <c r="F551" s="1099"/>
      <c r="G551" s="1099"/>
      <c r="H551" s="1099"/>
      <c r="I551" s="1099"/>
      <c r="J551" s="1099"/>
      <c r="K551" s="1099"/>
      <c r="L551" s="1099"/>
      <c r="M551" s="1098" t="s">
        <v>2173</v>
      </c>
      <c r="N551" s="1098"/>
      <c r="O551" s="1098"/>
      <c r="P551" s="1098"/>
      <c r="Q551" s="1100"/>
      <c r="R551" s="1101"/>
      <c r="S551" s="1102"/>
      <c r="T551" s="1100"/>
      <c r="U551" s="1101"/>
      <c r="V551" s="1102"/>
      <c r="W551" s="1439"/>
      <c r="X551" s="1440"/>
      <c r="Y551" s="1441"/>
      <c r="Z551" s="1442" t="s">
        <v>1977</v>
      </c>
      <c r="AA551" s="1442"/>
      <c r="AB551" s="1442"/>
      <c r="AC551" s="1442"/>
      <c r="AD551" s="1442"/>
      <c r="AE551" s="1443"/>
      <c r="AF551" s="1444"/>
      <c r="AG551" s="1444"/>
      <c r="AH551" s="1445"/>
      <c r="AI551" s="1436"/>
      <c r="AJ551" s="1437"/>
      <c r="AK551" s="1437"/>
      <c r="AL551" s="1438"/>
      <c r="AM551" s="1217">
        <f>+AO635-AM549-AM550</f>
        <v>4257675</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9"/>
      <c r="D552" s="1099"/>
      <c r="E552" s="1099"/>
      <c r="F552" s="1099"/>
      <c r="G552" s="1099"/>
      <c r="H552" s="1099"/>
      <c r="I552" s="1099"/>
      <c r="J552" s="1099"/>
      <c r="K552" s="1099"/>
      <c r="L552" s="1099"/>
      <c r="M552" s="1098" t="s">
        <v>1977</v>
      </c>
      <c r="N552" s="1098"/>
      <c r="O552" s="1098"/>
      <c r="P552" s="1098"/>
      <c r="Q552" s="1100"/>
      <c r="R552" s="1101"/>
      <c r="S552" s="1102"/>
      <c r="T552" s="1100"/>
      <c r="U552" s="1101"/>
      <c r="V552" s="1102"/>
      <c r="W552" s="1439"/>
      <c r="X552" s="1440"/>
      <c r="Y552" s="1441"/>
      <c r="Z552" s="1442" t="s">
        <v>1977</v>
      </c>
      <c r="AA552" s="1442"/>
      <c r="AB552" s="1442"/>
      <c r="AC552" s="1442"/>
      <c r="AD552" s="1442"/>
      <c r="AE552" s="1443"/>
      <c r="AF552" s="1444"/>
      <c r="AG552" s="1444"/>
      <c r="AH552" s="1445"/>
      <c r="AI552" s="1436"/>
      <c r="AJ552" s="1437"/>
      <c r="AK552" s="1437"/>
      <c r="AL552" s="1438"/>
      <c r="AM552" s="1217"/>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9"/>
      <c r="D553" s="1099"/>
      <c r="E553" s="1099"/>
      <c r="F553" s="1099"/>
      <c r="G553" s="1099"/>
      <c r="H553" s="1099"/>
      <c r="I553" s="1099"/>
      <c r="J553" s="1099"/>
      <c r="K553" s="1099"/>
      <c r="L553" s="1099"/>
      <c r="M553" s="1098" t="s">
        <v>1977</v>
      </c>
      <c r="N553" s="1098"/>
      <c r="O553" s="1098"/>
      <c r="P553" s="1098"/>
      <c r="Q553" s="1100"/>
      <c r="R553" s="1101"/>
      <c r="S553" s="1102"/>
      <c r="T553" s="1100"/>
      <c r="U553" s="1101"/>
      <c r="V553" s="1102"/>
      <c r="W553" s="1439"/>
      <c r="X553" s="1440"/>
      <c r="Y553" s="1441"/>
      <c r="Z553" s="1442" t="s">
        <v>1977</v>
      </c>
      <c r="AA553" s="1442"/>
      <c r="AB553" s="1442"/>
      <c r="AC553" s="1442"/>
      <c r="AD553" s="1442"/>
      <c r="AE553" s="1443"/>
      <c r="AF553" s="1444"/>
      <c r="AG553" s="1444"/>
      <c r="AH553" s="1445"/>
      <c r="AI553" s="1436"/>
      <c r="AJ553" s="1437"/>
      <c r="AK553" s="1437"/>
      <c r="AL553" s="1438"/>
      <c r="AM553" s="1217"/>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9"/>
      <c r="D554" s="1099"/>
      <c r="E554" s="1099"/>
      <c r="F554" s="1099"/>
      <c r="G554" s="1099"/>
      <c r="H554" s="1099"/>
      <c r="I554" s="1099"/>
      <c r="J554" s="1099"/>
      <c r="K554" s="1099"/>
      <c r="L554" s="1099"/>
      <c r="M554" s="1098" t="s">
        <v>1977</v>
      </c>
      <c r="N554" s="1098"/>
      <c r="O554" s="1098"/>
      <c r="P554" s="1098"/>
      <c r="Q554" s="1100"/>
      <c r="R554" s="1101"/>
      <c r="S554" s="1102"/>
      <c r="T554" s="1100"/>
      <c r="U554" s="1101"/>
      <c r="V554" s="1102"/>
      <c r="W554" s="1439"/>
      <c r="X554" s="1440"/>
      <c r="Y554" s="1441"/>
      <c r="Z554" s="1442" t="s">
        <v>1977</v>
      </c>
      <c r="AA554" s="1442"/>
      <c r="AB554" s="1442"/>
      <c r="AC554" s="1442"/>
      <c r="AD554" s="1442"/>
      <c r="AE554" s="1443"/>
      <c r="AF554" s="1444"/>
      <c r="AG554" s="1444"/>
      <c r="AH554" s="1445"/>
      <c r="AI554" s="1436"/>
      <c r="AJ554" s="1437"/>
      <c r="AK554" s="1437"/>
      <c r="AL554" s="1438"/>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9"/>
      <c r="D555" s="1099"/>
      <c r="E555" s="1099"/>
      <c r="F555" s="1099"/>
      <c r="G555" s="1099"/>
      <c r="H555" s="1099"/>
      <c r="I555" s="1099"/>
      <c r="J555" s="1099"/>
      <c r="K555" s="1099"/>
      <c r="L555" s="1099"/>
      <c r="M555" s="1098" t="s">
        <v>1977</v>
      </c>
      <c r="N555" s="1098"/>
      <c r="O555" s="1098"/>
      <c r="P555" s="1098"/>
      <c r="Q555" s="1100"/>
      <c r="R555" s="1101"/>
      <c r="S555" s="1102"/>
      <c r="T555" s="1100"/>
      <c r="U555" s="1101"/>
      <c r="V555" s="1102"/>
      <c r="W555" s="1439"/>
      <c r="X555" s="1440"/>
      <c r="Y555" s="1441"/>
      <c r="Z555" s="1442" t="s">
        <v>1977</v>
      </c>
      <c r="AA555" s="1442"/>
      <c r="AB555" s="1442"/>
      <c r="AC555" s="1442"/>
      <c r="AD555" s="1442"/>
      <c r="AE555" s="1443"/>
      <c r="AF555" s="1444"/>
      <c r="AG555" s="1444"/>
      <c r="AH555" s="1445"/>
      <c r="AI555" s="1436"/>
      <c r="AJ555" s="1437"/>
      <c r="AK555" s="1437"/>
      <c r="AL555" s="1438"/>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9"/>
      <c r="D556" s="1099"/>
      <c r="E556" s="1099"/>
      <c r="F556" s="1099"/>
      <c r="G556" s="1099"/>
      <c r="H556" s="1099"/>
      <c r="I556" s="1099"/>
      <c r="J556" s="1099"/>
      <c r="K556" s="1099"/>
      <c r="L556" s="1099"/>
      <c r="M556" s="1098" t="s">
        <v>1977</v>
      </c>
      <c r="N556" s="1098"/>
      <c r="O556" s="1098"/>
      <c r="P556" s="1098"/>
      <c r="Q556" s="1100"/>
      <c r="R556" s="1101"/>
      <c r="S556" s="1102"/>
      <c r="T556" s="1100"/>
      <c r="U556" s="1101"/>
      <c r="V556" s="1102"/>
      <c r="W556" s="1439"/>
      <c r="X556" s="1440"/>
      <c r="Y556" s="1441"/>
      <c r="Z556" s="1442" t="s">
        <v>1977</v>
      </c>
      <c r="AA556" s="1442"/>
      <c r="AB556" s="1442"/>
      <c r="AC556" s="1442"/>
      <c r="AD556" s="1442"/>
      <c r="AE556" s="1443"/>
      <c r="AF556" s="1444"/>
      <c r="AG556" s="1444"/>
      <c r="AH556" s="1445"/>
      <c r="AI556" s="1436"/>
      <c r="AJ556" s="1437"/>
      <c r="AK556" s="1437"/>
      <c r="AL556" s="1438"/>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9"/>
      <c r="D557" s="1099"/>
      <c r="E557" s="1099"/>
      <c r="F557" s="1099"/>
      <c r="G557" s="1099"/>
      <c r="H557" s="1099"/>
      <c r="I557" s="1099"/>
      <c r="J557" s="1099"/>
      <c r="K557" s="1099"/>
      <c r="L557" s="1099"/>
      <c r="M557" s="1098" t="s">
        <v>1977</v>
      </c>
      <c r="N557" s="1098"/>
      <c r="O557" s="1098"/>
      <c r="P557" s="1098"/>
      <c r="Q557" s="1100"/>
      <c r="R557" s="1101"/>
      <c r="S557" s="1102"/>
      <c r="T557" s="1100"/>
      <c r="U557" s="1101"/>
      <c r="V557" s="1102"/>
      <c r="W557" s="1439"/>
      <c r="X557" s="1440"/>
      <c r="Y557" s="1441"/>
      <c r="Z557" s="1442" t="s">
        <v>1977</v>
      </c>
      <c r="AA557" s="1442"/>
      <c r="AB557" s="1442"/>
      <c r="AC557" s="1442"/>
      <c r="AD557" s="1442"/>
      <c r="AE557" s="1443"/>
      <c r="AF557" s="1444"/>
      <c r="AG557" s="1444"/>
      <c r="AH557" s="1445"/>
      <c r="AI557" s="1436"/>
      <c r="AJ557" s="1437"/>
      <c r="AK557" s="1437"/>
      <c r="AL557" s="1438"/>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9"/>
      <c r="D558" s="1099"/>
      <c r="E558" s="1099"/>
      <c r="F558" s="1099"/>
      <c r="G558" s="1099"/>
      <c r="H558" s="1099"/>
      <c r="I558" s="1099"/>
      <c r="J558" s="1099"/>
      <c r="K558" s="1099"/>
      <c r="L558" s="1099"/>
      <c r="M558" s="1098" t="s">
        <v>1977</v>
      </c>
      <c r="N558" s="1098"/>
      <c r="O558" s="1098"/>
      <c r="P558" s="1098"/>
      <c r="Q558" s="1100"/>
      <c r="R558" s="1101"/>
      <c r="S558" s="1102"/>
      <c r="T558" s="1100"/>
      <c r="U558" s="1101"/>
      <c r="V558" s="1102"/>
      <c r="W558" s="1439"/>
      <c r="X558" s="1440"/>
      <c r="Y558" s="1441"/>
      <c r="Z558" s="1442" t="s">
        <v>1977</v>
      </c>
      <c r="AA558" s="1442"/>
      <c r="AB558" s="1442"/>
      <c r="AC558" s="1442"/>
      <c r="AD558" s="1442"/>
      <c r="AE558" s="1443"/>
      <c r="AF558" s="1444"/>
      <c r="AG558" s="1444"/>
      <c r="AH558" s="1445"/>
      <c r="AI558" s="1436"/>
      <c r="AJ558" s="1437"/>
      <c r="AK558" s="1437"/>
      <c r="AL558" s="1438"/>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1977</v>
      </c>
      <c r="N559" s="1098"/>
      <c r="O559" s="1098"/>
      <c r="P559" s="1098"/>
      <c r="Q559" s="1100"/>
      <c r="R559" s="1101"/>
      <c r="S559" s="1102"/>
      <c r="T559" s="1100"/>
      <c r="U559" s="1101"/>
      <c r="V559" s="1102"/>
      <c r="W559" s="1439"/>
      <c r="X559" s="1440"/>
      <c r="Y559" s="1441"/>
      <c r="Z559" s="1442" t="s">
        <v>1977</v>
      </c>
      <c r="AA559" s="1442"/>
      <c r="AB559" s="1442"/>
      <c r="AC559" s="1442"/>
      <c r="AD559" s="1442"/>
      <c r="AE559" s="1443"/>
      <c r="AF559" s="1444"/>
      <c r="AG559" s="1444"/>
      <c r="AH559" s="1445"/>
      <c r="AI559" s="1436"/>
      <c r="AJ559" s="1437"/>
      <c r="AK559" s="1437"/>
      <c r="AL559" s="1438"/>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1977</v>
      </c>
      <c r="N560" s="1098"/>
      <c r="O560" s="1098"/>
      <c r="P560" s="1098"/>
      <c r="Q560" s="1100"/>
      <c r="R560" s="1101"/>
      <c r="S560" s="1102"/>
      <c r="T560" s="1100"/>
      <c r="U560" s="1101"/>
      <c r="V560" s="1102"/>
      <c r="W560" s="1439"/>
      <c r="X560" s="1440"/>
      <c r="Y560" s="1441"/>
      <c r="Z560" s="1442" t="s">
        <v>1977</v>
      </c>
      <c r="AA560" s="1442"/>
      <c r="AB560" s="1442"/>
      <c r="AC560" s="1442"/>
      <c r="AD560" s="1442"/>
      <c r="AE560" s="1443"/>
      <c r="AF560" s="1444"/>
      <c r="AG560" s="1444"/>
      <c r="AH560" s="1445"/>
      <c r="AI560" s="1436"/>
      <c r="AJ560" s="1437"/>
      <c r="AK560" s="1437"/>
      <c r="AL560" s="1438"/>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8">
        <f>SUM(AM549:AS560)</f>
        <v>19824769</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6" t="str">
        <f>C549</f>
        <v>Citi Bank Construction Loan</v>
      </c>
      <c r="H563" s="1186"/>
      <c r="I563" s="1186"/>
      <c r="J563" s="1186"/>
      <c r="K563" s="1186"/>
      <c r="L563" s="1186"/>
      <c r="M563" s="1186"/>
      <c r="N563" s="1186"/>
      <c r="O563" s="1186"/>
      <c r="P563" s="1186"/>
      <c r="Q563" s="1186"/>
      <c r="R563" s="1186"/>
      <c r="S563" s="12"/>
      <c r="T563" s="61" t="s">
        <v>901</v>
      </c>
      <c r="U563" t="s">
        <v>82</v>
      </c>
      <c r="Z563" s="1186" t="str">
        <f>C550</f>
        <v xml:space="preserve">Homekey </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2428</v>
      </c>
      <c r="H564" s="1056"/>
      <c r="I564" s="1056"/>
      <c r="J564" s="1056"/>
      <c r="K564" s="1056"/>
      <c r="L564" s="1056"/>
      <c r="M564" s="1056"/>
      <c r="N564" s="1056"/>
      <c r="O564" s="1056"/>
      <c r="P564" s="1056"/>
      <c r="Q564" s="1056"/>
      <c r="R564" s="1056"/>
      <c r="S564" s="12"/>
      <c r="T564" s="4"/>
      <c r="U564" t="s">
        <v>372</v>
      </c>
      <c r="Z564" s="1317" t="s">
        <v>2435</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2429</v>
      </c>
      <c r="H565" s="1056"/>
      <c r="I565" s="1056"/>
      <c r="J565" s="1056"/>
      <c r="K565" s="1056"/>
      <c r="L565" s="1056"/>
      <c r="M565" s="1056"/>
      <c r="N565" s="1056"/>
      <c r="O565" s="1056"/>
      <c r="P565" s="1056"/>
      <c r="Q565" s="1056"/>
      <c r="R565" s="1056"/>
      <c r="T565" s="4"/>
      <c r="U565" t="s">
        <v>430</v>
      </c>
      <c r="Z565" s="1147" t="s">
        <v>2436</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2430</v>
      </c>
      <c r="H566" s="1056"/>
      <c r="I566" s="1056"/>
      <c r="J566" s="1056"/>
      <c r="K566" s="1056"/>
      <c r="L566" s="1056"/>
      <c r="M566" s="1056"/>
      <c r="N566" s="1056"/>
      <c r="O566" s="1056"/>
      <c r="P566" s="1056"/>
      <c r="Q566" s="1056"/>
      <c r="R566" s="1056"/>
      <c r="S566" s="12"/>
      <c r="T566" s="4"/>
      <c r="U566" t="s">
        <v>833</v>
      </c>
      <c r="Z566" s="1147" t="s">
        <v>2437</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8" t="s">
        <v>2431</v>
      </c>
      <c r="H567" s="1058"/>
      <c r="I567" s="1058"/>
      <c r="J567" s="1058"/>
      <c r="K567" s="1058"/>
      <c r="L567" s="1058"/>
      <c r="O567" s="42" t="s">
        <v>818</v>
      </c>
      <c r="P567" s="1318"/>
      <c r="Q567" s="1318"/>
      <c r="R567" s="1318"/>
      <c r="S567" s="14"/>
      <c r="T567" s="4"/>
      <c r="U567" t="s">
        <v>650</v>
      </c>
      <c r="Z567" s="1058">
        <v>9162632771</v>
      </c>
      <c r="AA567" s="1058"/>
      <c r="AB567" s="1058"/>
      <c r="AC567" s="1058"/>
      <c r="AD567" s="1058"/>
      <c r="AE567" s="1058"/>
      <c r="AH567" s="42" t="s">
        <v>818</v>
      </c>
      <c r="AI567" s="1318"/>
      <c r="AJ567" s="1318"/>
      <c r="AK567" s="131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2432</v>
      </c>
      <c r="I568" s="1056"/>
      <c r="J568" s="1056"/>
      <c r="K568" s="1056"/>
      <c r="L568" s="1056"/>
      <c r="M568" s="1056"/>
      <c r="N568" s="1056"/>
      <c r="O568" s="1056"/>
      <c r="P568" s="1056"/>
      <c r="Q568" s="1056"/>
      <c r="R568" s="1056"/>
      <c r="S568" s="12"/>
      <c r="T568" s="4"/>
      <c r="U568" t="s">
        <v>834</v>
      </c>
      <c r="AA568" s="1317" t="s">
        <v>2438</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6" t="str">
        <f>C551</f>
        <v>Boston Financial Tax Credit Equity</v>
      </c>
      <c r="H571" s="1186"/>
      <c r="I571" s="1186"/>
      <c r="J571" s="1186"/>
      <c r="K571" s="1186"/>
      <c r="L571" s="1186"/>
      <c r="M571" s="1186"/>
      <c r="N571" s="1186"/>
      <c r="O571" s="1186"/>
      <c r="P571" s="1186"/>
      <c r="Q571" s="1186"/>
      <c r="R571" s="1186"/>
      <c r="T571" s="61" t="s">
        <v>431</v>
      </c>
      <c r="U571" t="s">
        <v>82</v>
      </c>
      <c r="Z571" s="1186">
        <f>C552</f>
        <v>0</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2434</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2409</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2410</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8" t="s">
        <v>2411</v>
      </c>
      <c r="H575" s="1058"/>
      <c r="I575" s="1058"/>
      <c r="J575" s="1058"/>
      <c r="K575" s="1058"/>
      <c r="L575" s="1058"/>
      <c r="O575" s="42" t="s">
        <v>818</v>
      </c>
      <c r="P575" s="1318"/>
      <c r="Q575" s="1318"/>
      <c r="R575" s="1318"/>
      <c r="T575" s="4"/>
      <c r="U575" t="s">
        <v>650</v>
      </c>
      <c r="Z575" s="1058"/>
      <c r="AA575" s="1058"/>
      <c r="AB575" s="1058"/>
      <c r="AC575" s="1058"/>
      <c r="AD575" s="1058"/>
      <c r="AE575" s="1058"/>
      <c r="AH575" s="42" t="s">
        <v>818</v>
      </c>
      <c r="AI575" s="1318"/>
      <c r="AJ575" s="1318"/>
      <c r="AK575" s="131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2427</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3" t="s">
        <v>108</v>
      </c>
      <c r="O577" s="1143"/>
      <c r="T577" s="4"/>
      <c r="U577" t="s">
        <v>836</v>
      </c>
      <c r="AG577" s="1143" t="s">
        <v>482</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6">
        <f>C553</f>
        <v>0</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8"/>
      <c r="H583" s="1058"/>
      <c r="I583" s="1058"/>
      <c r="J583" s="1058"/>
      <c r="K583" s="1058"/>
      <c r="L583" s="1058"/>
      <c r="O583" s="42" t="s">
        <v>818</v>
      </c>
      <c r="P583" s="1318"/>
      <c r="Q583" s="1318"/>
      <c r="R583" s="1318"/>
      <c r="T583" s="4"/>
      <c r="U583" t="s">
        <v>650</v>
      </c>
      <c r="Z583" s="1058"/>
      <c r="AA583" s="1058"/>
      <c r="AB583" s="1058"/>
      <c r="AC583" s="1058"/>
      <c r="AD583" s="1058"/>
      <c r="AE583" s="1058"/>
      <c r="AH583" s="42" t="s">
        <v>818</v>
      </c>
      <c r="AI583" s="1318"/>
      <c r="AJ583" s="1318"/>
      <c r="AK583" s="131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8"/>
      <c r="H591" s="1058"/>
      <c r="I591" s="1058"/>
      <c r="J591" s="1058"/>
      <c r="K591" s="1058"/>
      <c r="L591" s="1058"/>
      <c r="M591"/>
      <c r="N591"/>
      <c r="O591" s="42" t="s">
        <v>818</v>
      </c>
      <c r="P591" s="1318"/>
      <c r="Q591" s="1318"/>
      <c r="R591" s="1318"/>
      <c r="S591"/>
      <c r="T591" s="4"/>
      <c r="U591" t="s">
        <v>650</v>
      </c>
      <c r="V591"/>
      <c r="W591"/>
      <c r="X591"/>
      <c r="Y591"/>
      <c r="Z591" s="1058"/>
      <c r="AA591" s="1058"/>
      <c r="AB591" s="1058"/>
      <c r="AC591" s="1058"/>
      <c r="AD591" s="1058"/>
      <c r="AE591" s="1058"/>
      <c r="AF591"/>
      <c r="AG591"/>
      <c r="AH591" s="42" t="s">
        <v>818</v>
      </c>
      <c r="AI591" s="1318"/>
      <c r="AJ591" s="1318"/>
      <c r="AK591" s="1318"/>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4</v>
      </c>
      <c r="BO591" s="1070"/>
      <c r="BP591" s="1070"/>
      <c r="BQ591" s="1070"/>
      <c r="BR591" s="1071"/>
      <c r="BS591" s="1069">
        <f t="shared" ref="BS591" si="2">IF(B695="1 Bedroom",G695,0)</f>
        <v>0</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4</v>
      </c>
      <c r="BL592" s="1072"/>
      <c r="BN592" s="1069">
        <f t="shared" ref="BN592:BN625" si="9">IF(B696="SRO/Studio",G696,0)</f>
        <v>4</v>
      </c>
      <c r="BO592" s="1070"/>
      <c r="BP592" s="1070"/>
      <c r="BQ592" s="1070"/>
      <c r="BR592" s="1071"/>
      <c r="BS592" s="1069">
        <f t="shared" ref="BS592:BS625" si="10">IF(B696="1 Bedroom",G696,0)</f>
        <v>0</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4</v>
      </c>
      <c r="CT592" s="1067"/>
      <c r="CU592" s="1067"/>
      <c r="CV592" s="1067"/>
      <c r="CW592" s="1068"/>
      <c r="CX592" s="1066">
        <f>IF(AND(B695="1 Bedroom",AH695&lt;=0.3),G695,0)</f>
        <v>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4</v>
      </c>
      <c r="BL593" s="1072"/>
      <c r="BN593" s="1069">
        <f t="shared" si="9"/>
        <v>0</v>
      </c>
      <c r="BO593" s="1070"/>
      <c r="BP593" s="1070"/>
      <c r="BQ593" s="1070"/>
      <c r="BR593" s="1071"/>
      <c r="BS593" s="1069">
        <f t="shared" si="10"/>
        <v>10</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4</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781</v>
      </c>
      <c r="BA594" s="41"/>
      <c r="BB594" s="41"/>
      <c r="BC594" s="41"/>
      <c r="BD594" s="41"/>
      <c r="BE594" s="1075">
        <f t="shared" si="15"/>
        <v>0</v>
      </c>
      <c r="BF594" s="1076"/>
      <c r="BG594" s="1069">
        <f t="shared" si="7"/>
        <v>0</v>
      </c>
      <c r="BH594" s="1072"/>
      <c r="BI594" s="1075">
        <f t="shared" si="16"/>
        <v>1</v>
      </c>
      <c r="BJ594" s="1076"/>
      <c r="BK594" s="1069">
        <f t="shared" si="8"/>
        <v>10</v>
      </c>
      <c r="BL594" s="1072"/>
      <c r="BN594" s="1069">
        <f t="shared" si="9"/>
        <v>0</v>
      </c>
      <c r="BO594" s="1070"/>
      <c r="BP594" s="1070"/>
      <c r="BQ594" s="1070"/>
      <c r="BR594" s="1071"/>
      <c r="BS594" s="1069">
        <f t="shared" si="10"/>
        <v>0</v>
      </c>
      <c r="BT594" s="1070"/>
      <c r="BU594" s="1070"/>
      <c r="BV594" s="1070"/>
      <c r="BW594" s="1072"/>
      <c r="BX594" s="1069">
        <f t="shared" si="11"/>
        <v>1</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10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5">
        <f t="shared" si="15"/>
        <v>0</v>
      </c>
      <c r="BF595" s="1076"/>
      <c r="BG595" s="1069">
        <f t="shared" si="7"/>
        <v>0</v>
      </c>
      <c r="BH595" s="1072"/>
      <c r="BI595" s="1075">
        <f t="shared" si="16"/>
        <v>1</v>
      </c>
      <c r="BJ595" s="1076"/>
      <c r="BK595" s="1069">
        <f t="shared" si="8"/>
        <v>1</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1</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1</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1</v>
      </c>
      <c r="BJ596" s="1076"/>
      <c r="BK596" s="1069">
        <f t="shared" si="8"/>
        <v>1</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1</v>
      </c>
      <c r="DN596" s="1067"/>
      <c r="DO596" s="1067"/>
      <c r="DP596" s="1067"/>
      <c r="DQ596" s="1068"/>
      <c r="DR596" s="1066">
        <f t="shared" si="22"/>
        <v>0</v>
      </c>
      <c r="DS596" s="1067"/>
      <c r="DT596" s="1067"/>
      <c r="DU596" s="1067"/>
      <c r="DV596" s="1068"/>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650</v>
      </c>
      <c r="G599" s="1058"/>
      <c r="H599" s="1058"/>
      <c r="I599" s="1058"/>
      <c r="J599" s="1058"/>
      <c r="K599" s="1058"/>
      <c r="L599" s="1058"/>
      <c r="O599" s="42" t="s">
        <v>818</v>
      </c>
      <c r="P599" s="1318"/>
      <c r="Q599" s="1318"/>
      <c r="R599" s="1318"/>
      <c r="T599" s="4"/>
      <c r="U599" t="s">
        <v>650</v>
      </c>
      <c r="Z599" s="1058"/>
      <c r="AA599" s="1058"/>
      <c r="AB599" s="1058"/>
      <c r="AC599" s="1058"/>
      <c r="AD599" s="1058"/>
      <c r="AE599" s="1058"/>
      <c r="AH599" s="42" t="s">
        <v>818</v>
      </c>
      <c r="AI599" s="1318"/>
      <c r="AJ599" s="1318"/>
      <c r="AK599" s="1318"/>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650</v>
      </c>
      <c r="G607" s="1058"/>
      <c r="H607" s="1058"/>
      <c r="I607" s="1058"/>
      <c r="J607" s="1058"/>
      <c r="K607" s="1058"/>
      <c r="L607" s="1058"/>
      <c r="O607" s="42" t="s">
        <v>818</v>
      </c>
      <c r="P607" s="1318"/>
      <c r="Q607" s="1318"/>
      <c r="R607" s="1318"/>
      <c r="U607" t="s">
        <v>650</v>
      </c>
      <c r="Z607" s="1058"/>
      <c r="AA607" s="1058"/>
      <c r="AB607" s="1058"/>
      <c r="AC607" s="1058"/>
      <c r="AD607" s="1058"/>
      <c r="AE607" s="1058"/>
      <c r="AH607" s="42" t="s">
        <v>818</v>
      </c>
      <c r="AI607" s="1318"/>
      <c r="AJ607" s="1318"/>
      <c r="AK607" s="1318"/>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2125</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07" t="s">
        <v>2194</v>
      </c>
      <c r="C618" s="1108"/>
      <c r="D618" s="1108"/>
      <c r="E618" s="1108"/>
      <c r="F618" s="1108"/>
      <c r="G618" s="1108"/>
      <c r="H618" s="1108"/>
      <c r="I618" s="1108"/>
      <c r="J618" s="1108"/>
      <c r="K618" s="1108"/>
      <c r="L618" s="1108"/>
      <c r="M618" s="1146" t="s">
        <v>2168</v>
      </c>
      <c r="N618" s="1146"/>
      <c r="O618" s="1146"/>
      <c r="P618" s="1146"/>
      <c r="Q618" s="1132" t="s">
        <v>2198</v>
      </c>
      <c r="R618" s="1133"/>
      <c r="S618" s="1134"/>
      <c r="T618" s="1132" t="s">
        <v>2197</v>
      </c>
      <c r="U618" s="1133"/>
      <c r="V618" s="1134"/>
      <c r="W618" s="1411" t="s">
        <v>740</v>
      </c>
      <c r="X618" s="1411"/>
      <c r="Y618" s="1412"/>
      <c r="Z618" s="1146" t="s">
        <v>2195</v>
      </c>
      <c r="AA618" s="1146"/>
      <c r="AB618" s="1146"/>
      <c r="AC618" s="1402" t="s">
        <v>1990</v>
      </c>
      <c r="AD618" s="1403"/>
      <c r="AE618" s="1404"/>
      <c r="AF618" s="1132" t="s">
        <v>2126</v>
      </c>
      <c r="AG618" s="1133"/>
      <c r="AH618" s="1133"/>
      <c r="AI618" s="1133"/>
      <c r="AJ618" s="1134"/>
      <c r="AK618" s="1285" t="s">
        <v>2127</v>
      </c>
      <c r="AL618" s="1286"/>
      <c r="AM618" s="1286"/>
      <c r="AN618" s="1287"/>
      <c r="AO618" s="1146" t="s">
        <v>741</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3"/>
      <c r="X619" s="1413"/>
      <c r="Y619" s="1414"/>
      <c r="Z619" s="1146"/>
      <c r="AA619" s="1146"/>
      <c r="AB619" s="1146"/>
      <c r="AC619" s="1405"/>
      <c r="AD619" s="1406"/>
      <c r="AE619" s="1407"/>
      <c r="AF619" s="1135"/>
      <c r="AG619" s="1136"/>
      <c r="AH619" s="1136"/>
      <c r="AI619" s="1136"/>
      <c r="AJ619" s="1137"/>
      <c r="AK619" s="1288"/>
      <c r="AL619" s="1289"/>
      <c r="AM619" s="1289"/>
      <c r="AN619" s="1290"/>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5"/>
      <c r="X620" s="1415"/>
      <c r="Y620" s="1416"/>
      <c r="Z620" s="1146"/>
      <c r="AA620" s="1146"/>
      <c r="AB620" s="1146"/>
      <c r="AC620" s="1408"/>
      <c r="AD620" s="1409"/>
      <c r="AE620" s="1410"/>
      <c r="AF620" s="1138"/>
      <c r="AG620" s="1139"/>
      <c r="AH620" s="1139"/>
      <c r="AI620" s="1139"/>
      <c r="AJ620" s="1140"/>
      <c r="AK620" s="1291"/>
      <c r="AL620" s="1292"/>
      <c r="AM620" s="1292"/>
      <c r="AN620" s="1293"/>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900</v>
      </c>
      <c r="C621" s="1098" t="s">
        <v>2425</v>
      </c>
      <c r="D621" s="1098"/>
      <c r="E621" s="1098"/>
      <c r="F621" s="1098"/>
      <c r="G621" s="1098"/>
      <c r="H621" s="1098"/>
      <c r="I621" s="1098"/>
      <c r="J621" s="1098"/>
      <c r="K621" s="1098"/>
      <c r="L621" s="1098"/>
      <c r="M621" s="1281" t="s">
        <v>2178</v>
      </c>
      <c r="N621" s="1281"/>
      <c r="O621" s="1281"/>
      <c r="P621" s="1281"/>
      <c r="Q621" s="1355">
        <f>35*12</f>
        <v>420</v>
      </c>
      <c r="R621" s="1356"/>
      <c r="S621" s="1357"/>
      <c r="T621" s="1381">
        <v>420</v>
      </c>
      <c r="U621" s="1382"/>
      <c r="V621" s="1383"/>
      <c r="W621" s="1294">
        <v>6.3E-2</v>
      </c>
      <c r="X621" s="1295"/>
      <c r="Y621" s="1296"/>
      <c r="Z621" s="1358" t="s">
        <v>2196</v>
      </c>
      <c r="AA621" s="1359"/>
      <c r="AB621" s="1360"/>
      <c r="AC621" s="1340">
        <v>1</v>
      </c>
      <c r="AD621" s="1145"/>
      <c r="AE621" s="1341"/>
      <c r="AF621" s="1164">
        <v>199115</v>
      </c>
      <c r="AG621" s="1165"/>
      <c r="AH621" s="1165"/>
      <c r="AI621" s="1165"/>
      <c r="AJ621" s="1166"/>
      <c r="AK621" s="1282"/>
      <c r="AL621" s="1283"/>
      <c r="AM621" s="1283"/>
      <c r="AN621" s="1284"/>
      <c r="AO621" s="1220">
        <v>2810094</v>
      </c>
      <c r="AP621" s="1220"/>
      <c r="AQ621" s="1220"/>
      <c r="AR621" s="1220"/>
      <c r="AS621" s="1220"/>
      <c r="AT621" s="946" t="str">
        <f t="shared" ref="AT621:AT632" si="33">IF(AND(NOT(C620=""),C621="",NOT(C622="")),"!","")</f>
        <v/>
      </c>
      <c r="AU621" s="43"/>
      <c r="AV621" s="43"/>
      <c r="AW621" s="43"/>
      <c r="AX621" s="43"/>
      <c r="AY621" s="43"/>
      <c r="BA621" s="41" t="s">
        <v>1977</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901</v>
      </c>
      <c r="C622" s="1098" t="s">
        <v>2424</v>
      </c>
      <c r="D622" s="1098"/>
      <c r="E622" s="1098"/>
      <c r="F622" s="1098"/>
      <c r="G622" s="1098"/>
      <c r="H622" s="1098"/>
      <c r="I622" s="1098"/>
      <c r="J622" s="1098"/>
      <c r="K622" s="1098"/>
      <c r="L622" s="1098"/>
      <c r="M622" s="1281" t="s">
        <v>2177</v>
      </c>
      <c r="N622" s="1281"/>
      <c r="O622" s="1281"/>
      <c r="P622" s="1281"/>
      <c r="Q622" s="1355"/>
      <c r="R622" s="1356"/>
      <c r="S622" s="1357"/>
      <c r="T622" s="1381"/>
      <c r="U622" s="1382"/>
      <c r="V622" s="1383"/>
      <c r="W622" s="1294"/>
      <c r="X622" s="1295"/>
      <c r="Y622" s="1296"/>
      <c r="Z622" s="1358" t="s">
        <v>1977</v>
      </c>
      <c r="AA622" s="1359"/>
      <c r="AB622" s="1360"/>
      <c r="AC622" s="1340"/>
      <c r="AD622" s="1145"/>
      <c r="AE622" s="1341"/>
      <c r="AF622" s="1164"/>
      <c r="AG622" s="1165"/>
      <c r="AH622" s="1165"/>
      <c r="AI622" s="1165"/>
      <c r="AJ622" s="1166"/>
      <c r="AK622" s="1282"/>
      <c r="AL622" s="1283"/>
      <c r="AM622" s="1283"/>
      <c r="AN622" s="1284"/>
      <c r="AO622" s="1220">
        <v>6425000</v>
      </c>
      <c r="AP622" s="1220"/>
      <c r="AQ622" s="1220"/>
      <c r="AR622" s="1220"/>
      <c r="AS622" s="1220"/>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907</v>
      </c>
      <c r="C623" s="1098"/>
      <c r="D623" s="1098"/>
      <c r="E623" s="1098"/>
      <c r="F623" s="1098"/>
      <c r="G623" s="1098"/>
      <c r="H623" s="1098"/>
      <c r="I623" s="1098"/>
      <c r="J623" s="1098"/>
      <c r="K623" s="1098"/>
      <c r="L623" s="1098"/>
      <c r="M623" s="1281" t="s">
        <v>1977</v>
      </c>
      <c r="N623" s="1281"/>
      <c r="O623" s="1281"/>
      <c r="P623" s="1281"/>
      <c r="Q623" s="1355"/>
      <c r="R623" s="1356"/>
      <c r="S623" s="1357"/>
      <c r="T623" s="1381"/>
      <c r="U623" s="1382"/>
      <c r="V623" s="1383"/>
      <c r="W623" s="1294"/>
      <c r="X623" s="1295"/>
      <c r="Y623" s="1296"/>
      <c r="Z623" s="1358" t="s">
        <v>1977</v>
      </c>
      <c r="AA623" s="1359"/>
      <c r="AB623" s="1360"/>
      <c r="AC623" s="1340"/>
      <c r="AD623" s="1145"/>
      <c r="AE623" s="1341"/>
      <c r="AF623" s="1164"/>
      <c r="AG623" s="1165"/>
      <c r="AH623" s="1165"/>
      <c r="AI623" s="1165"/>
      <c r="AJ623" s="1166"/>
      <c r="AK623" s="1282"/>
      <c r="AL623" s="1283"/>
      <c r="AM623" s="1283"/>
      <c r="AN623" s="1284"/>
      <c r="AO623" s="1220"/>
      <c r="AP623" s="1220"/>
      <c r="AQ623" s="1220"/>
      <c r="AR623" s="1220"/>
      <c r="AS623" s="1220"/>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431</v>
      </c>
      <c r="C624" s="1098"/>
      <c r="D624" s="1098"/>
      <c r="E624" s="1098"/>
      <c r="F624" s="1098"/>
      <c r="G624" s="1098"/>
      <c r="H624" s="1098"/>
      <c r="I624" s="1098"/>
      <c r="J624" s="1098"/>
      <c r="K624" s="1098"/>
      <c r="L624" s="1098"/>
      <c r="M624" s="1281" t="s">
        <v>1977</v>
      </c>
      <c r="N624" s="1281"/>
      <c r="O624" s="1281"/>
      <c r="P624" s="1281"/>
      <c r="Q624" s="1355"/>
      <c r="R624" s="1356"/>
      <c r="S624" s="1357"/>
      <c r="T624" s="1381"/>
      <c r="U624" s="1382"/>
      <c r="V624" s="1383"/>
      <c r="W624" s="1294"/>
      <c r="X624" s="1295"/>
      <c r="Y624" s="1296"/>
      <c r="Z624" s="1358" t="s">
        <v>1977</v>
      </c>
      <c r="AA624" s="1359"/>
      <c r="AB624" s="1360"/>
      <c r="AC624" s="1340"/>
      <c r="AD624" s="1145"/>
      <c r="AE624" s="1341"/>
      <c r="AF624" s="1164"/>
      <c r="AG624" s="1165"/>
      <c r="AH624" s="1165"/>
      <c r="AI624" s="1165"/>
      <c r="AJ624" s="1166"/>
      <c r="AK624" s="1282"/>
      <c r="AL624" s="1283"/>
      <c r="AM624" s="1283"/>
      <c r="AN624" s="1284"/>
      <c r="AO624" s="1220"/>
      <c r="AP624" s="1220"/>
      <c r="AQ624" s="1220"/>
      <c r="AR624" s="1220"/>
      <c r="AS624" s="1220"/>
      <c r="AT624" s="946" t="str">
        <f t="shared" si="33"/>
        <v/>
      </c>
      <c r="AU624" s="43"/>
      <c r="AV624" s="43"/>
      <c r="AW624" s="43"/>
      <c r="AX624" s="43"/>
      <c r="AY624" s="43"/>
      <c r="AZ624" s="43"/>
      <c r="BA624" s="41" t="s">
        <v>2196</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171</v>
      </c>
      <c r="C625" s="1098"/>
      <c r="D625" s="1098"/>
      <c r="E625" s="1098"/>
      <c r="F625" s="1098"/>
      <c r="G625" s="1098"/>
      <c r="H625" s="1098"/>
      <c r="I625" s="1098"/>
      <c r="J625" s="1098"/>
      <c r="K625" s="1098"/>
      <c r="L625" s="1098"/>
      <c r="M625" s="1281" t="s">
        <v>1977</v>
      </c>
      <c r="N625" s="1281"/>
      <c r="O625" s="1281"/>
      <c r="P625" s="1281"/>
      <c r="Q625" s="1355"/>
      <c r="R625" s="1356"/>
      <c r="S625" s="1357"/>
      <c r="T625" s="1381"/>
      <c r="U625" s="1382"/>
      <c r="V625" s="1383"/>
      <c r="W625" s="1294"/>
      <c r="X625" s="1295"/>
      <c r="Y625" s="1296"/>
      <c r="Z625" s="1358" t="s">
        <v>1977</v>
      </c>
      <c r="AA625" s="1359"/>
      <c r="AB625" s="1360"/>
      <c r="AC625" s="1340"/>
      <c r="AD625" s="1145"/>
      <c r="AE625" s="1341"/>
      <c r="AF625" s="1164"/>
      <c r="AG625" s="1165"/>
      <c r="AH625" s="1165"/>
      <c r="AI625" s="1165"/>
      <c r="AJ625" s="1166"/>
      <c r="AK625" s="1282"/>
      <c r="AL625" s="1283"/>
      <c r="AM625" s="1283"/>
      <c r="AN625" s="1284"/>
      <c r="AO625" s="1220"/>
      <c r="AP625" s="1220"/>
      <c r="AQ625" s="1220"/>
      <c r="AR625" s="1220"/>
      <c r="AS625" s="1220"/>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434</v>
      </c>
      <c r="C626" s="1098"/>
      <c r="D626" s="1098"/>
      <c r="E626" s="1098"/>
      <c r="F626" s="1098"/>
      <c r="G626" s="1098"/>
      <c r="H626" s="1098"/>
      <c r="I626" s="1098"/>
      <c r="J626" s="1098"/>
      <c r="K626" s="1098"/>
      <c r="L626" s="1098"/>
      <c r="M626" s="1281" t="s">
        <v>1977</v>
      </c>
      <c r="N626" s="1281"/>
      <c r="O626" s="1281"/>
      <c r="P626" s="1281"/>
      <c r="Q626" s="1355"/>
      <c r="R626" s="1356"/>
      <c r="S626" s="1357"/>
      <c r="T626" s="1381"/>
      <c r="U626" s="1382"/>
      <c r="V626" s="1383"/>
      <c r="W626" s="1294"/>
      <c r="X626" s="1295"/>
      <c r="Y626" s="1296"/>
      <c r="Z626" s="1358" t="s">
        <v>1977</v>
      </c>
      <c r="AA626" s="1359"/>
      <c r="AB626" s="1360"/>
      <c r="AC626" s="1340"/>
      <c r="AD626" s="1145"/>
      <c r="AE626" s="1341"/>
      <c r="AF626" s="1164"/>
      <c r="AG626" s="1165"/>
      <c r="AH626" s="1165"/>
      <c r="AI626" s="1165"/>
      <c r="AJ626" s="1166"/>
      <c r="AK626" s="1282"/>
      <c r="AL626" s="1283"/>
      <c r="AM626" s="1283"/>
      <c r="AN626" s="1284"/>
      <c r="AO626" s="1220"/>
      <c r="AP626" s="1220"/>
      <c r="AQ626" s="1220"/>
      <c r="AR626" s="1220"/>
      <c r="AS626" s="1220"/>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8</v>
      </c>
      <c r="BO626" s="1306"/>
      <c r="BP626" s="1306"/>
      <c r="BQ626" s="1306"/>
      <c r="BR626" s="1076"/>
      <c r="BS626" s="1075">
        <f t="shared" ref="BS626" si="34">SUM(BS591:BW625)</f>
        <v>10</v>
      </c>
      <c r="BT626" s="1306"/>
      <c r="BU626" s="1306"/>
      <c r="BV626" s="1306"/>
      <c r="BW626" s="1076"/>
      <c r="BX626" s="1075">
        <f t="shared" ref="BX626" si="35">SUM(BX591:CB625)</f>
        <v>1</v>
      </c>
      <c r="BY626" s="1306"/>
      <c r="BZ626" s="1306"/>
      <c r="CA626" s="1306"/>
      <c r="CB626" s="1076"/>
      <c r="CC626" s="1075">
        <f t="shared" ref="CC626" si="36">SUM(CC591:CG625)</f>
        <v>0</v>
      </c>
      <c r="CD626" s="1306"/>
      <c r="CE626" s="1306"/>
      <c r="CF626" s="1306"/>
      <c r="CG626" s="1076"/>
      <c r="CH626" s="1075">
        <f t="shared" ref="CH626" si="37">SUM(CH591:CL625)</f>
        <v>1</v>
      </c>
      <c r="CI626" s="1306"/>
      <c r="CJ626" s="1306"/>
      <c r="CK626" s="1306"/>
      <c r="CL626" s="1076"/>
      <c r="CM626" s="1075">
        <f t="shared" ref="CM626" si="38">SUM(CM591:CQ625)</f>
        <v>0</v>
      </c>
      <c r="CN626" s="1306"/>
      <c r="CO626" s="1306"/>
      <c r="CP626" s="1306"/>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742</v>
      </c>
      <c r="C627" s="1098"/>
      <c r="D627" s="1098"/>
      <c r="E627" s="1098"/>
      <c r="F627" s="1098"/>
      <c r="G627" s="1098"/>
      <c r="H627" s="1098"/>
      <c r="I627" s="1098"/>
      <c r="J627" s="1098"/>
      <c r="K627" s="1098"/>
      <c r="L627" s="1098"/>
      <c r="M627" s="1281" t="s">
        <v>1977</v>
      </c>
      <c r="N627" s="1281"/>
      <c r="O627" s="1281"/>
      <c r="P627" s="1281"/>
      <c r="Q627" s="1355"/>
      <c r="R627" s="1356"/>
      <c r="S627" s="1357"/>
      <c r="T627" s="1381"/>
      <c r="U627" s="1382"/>
      <c r="V627" s="1383"/>
      <c r="W627" s="1294"/>
      <c r="X627" s="1295"/>
      <c r="Y627" s="1296"/>
      <c r="Z627" s="1358" t="s">
        <v>1977</v>
      </c>
      <c r="AA627" s="1359"/>
      <c r="AB627" s="1360"/>
      <c r="AC627" s="1340"/>
      <c r="AD627" s="1145"/>
      <c r="AE627" s="1341"/>
      <c r="AF627" s="1164"/>
      <c r="AG627" s="1165"/>
      <c r="AH627" s="1165"/>
      <c r="AI627" s="1165"/>
      <c r="AJ627" s="1166"/>
      <c r="AK627" s="1282"/>
      <c r="AL627" s="1283"/>
      <c r="AM627" s="1283"/>
      <c r="AN627" s="1284"/>
      <c r="AO627" s="1220"/>
      <c r="AP627" s="1220"/>
      <c r="AQ627" s="1220"/>
      <c r="AR627" s="1220"/>
      <c r="AS627" s="1220"/>
      <c r="AT627" s="946" t="str">
        <f t="shared" si="33"/>
        <v/>
      </c>
      <c r="AU627" s="43"/>
      <c r="AV627" s="43"/>
      <c r="AW627" s="43"/>
      <c r="AX627" s="43"/>
      <c r="AY627" s="43"/>
      <c r="AZ627" s="43"/>
      <c r="BE627" s="41"/>
      <c r="BF627" s="41"/>
      <c r="BG627" s="1075">
        <f>SUM(BG592:BH626)</f>
        <v>0</v>
      </c>
      <c r="BH627" s="1076"/>
      <c r="BI627" s="41"/>
      <c r="BJ627" s="41"/>
      <c r="BK627" s="1075">
        <f>SUM(BK592:BL626)</f>
        <v>20</v>
      </c>
      <c r="BL627" s="1076"/>
      <c r="BN627" s="41" t="s">
        <v>1723</v>
      </c>
      <c r="BO627" s="41"/>
      <c r="BP627" s="41"/>
      <c r="BQ627" s="41"/>
      <c r="BR627" s="467">
        <f>BN626*1</f>
        <v>8</v>
      </c>
      <c r="BS627" s="41"/>
      <c r="BT627" s="41"/>
      <c r="BU627" s="41"/>
      <c r="BV627" s="41"/>
      <c r="BW627" s="467">
        <f>BS626*1</f>
        <v>10</v>
      </c>
      <c r="BX627" s="41"/>
      <c r="BY627" s="41"/>
      <c r="BZ627" s="41"/>
      <c r="CA627" s="41"/>
      <c r="CB627" s="467">
        <f>BX626*2</f>
        <v>2</v>
      </c>
      <c r="CC627" s="41"/>
      <c r="CD627" s="41"/>
      <c r="CE627" s="41"/>
      <c r="CF627" s="41"/>
      <c r="CG627" s="467">
        <f>CC626*3</f>
        <v>0</v>
      </c>
      <c r="CH627" s="41"/>
      <c r="CI627" s="41"/>
      <c r="CJ627" s="41"/>
      <c r="CK627" s="41"/>
      <c r="CL627" s="467">
        <f>CH626*4</f>
        <v>4</v>
      </c>
      <c r="CM627" s="41"/>
      <c r="CN627" s="41"/>
      <c r="CO627" s="41"/>
      <c r="CP627" s="41"/>
      <c r="CQ627" s="466">
        <f>CM626*5</f>
        <v>0</v>
      </c>
      <c r="CS627" s="1075">
        <f>SUM(CS592:CW626)</f>
        <v>8</v>
      </c>
      <c r="CT627" s="1306"/>
      <c r="CU627" s="1306"/>
      <c r="CV627" s="1306"/>
      <c r="CW627" s="1076"/>
      <c r="CX627" s="1075">
        <f>SUM(CX592:DB626)</f>
        <v>10</v>
      </c>
      <c r="CY627" s="1306"/>
      <c r="CZ627" s="1306"/>
      <c r="DA627" s="1306"/>
      <c r="DB627" s="1076"/>
      <c r="DC627" s="1075">
        <f>SUM(DC592:DG626)</f>
        <v>1</v>
      </c>
      <c r="DD627" s="1306"/>
      <c r="DE627" s="1306"/>
      <c r="DF627" s="1306"/>
      <c r="DG627" s="1076"/>
      <c r="DH627" s="1075">
        <f>SUM(DH592:DL626)</f>
        <v>0</v>
      </c>
      <c r="DI627" s="1306"/>
      <c r="DJ627" s="1306"/>
      <c r="DK627" s="1306"/>
      <c r="DL627" s="1076"/>
      <c r="DM627" s="1075">
        <f>SUM(DM592:DQ626)</f>
        <v>1</v>
      </c>
      <c r="DN627" s="1306"/>
      <c r="DO627" s="1306"/>
      <c r="DP627" s="1306"/>
      <c r="DQ627" s="1076"/>
      <c r="DR627" s="1075">
        <f>SUM(DR592:DV626)</f>
        <v>0</v>
      </c>
      <c r="DS627" s="1306"/>
      <c r="DT627" s="1306"/>
      <c r="DU627" s="1306"/>
      <c r="DV627" s="1076"/>
    </row>
    <row r="628" spans="1:126" ht="12.9" customHeight="1" thickBot="1">
      <c r="B628" s="58" t="s">
        <v>743</v>
      </c>
      <c r="C628" s="1098"/>
      <c r="D628" s="1098"/>
      <c r="E628" s="1098"/>
      <c r="F628" s="1098"/>
      <c r="G628" s="1098"/>
      <c r="H628" s="1098"/>
      <c r="I628" s="1098"/>
      <c r="J628" s="1098"/>
      <c r="K628" s="1098"/>
      <c r="L628" s="1098"/>
      <c r="M628" s="1281" t="s">
        <v>1977</v>
      </c>
      <c r="N628" s="1281"/>
      <c r="O628" s="1281"/>
      <c r="P628" s="1281"/>
      <c r="Q628" s="1355"/>
      <c r="R628" s="1356"/>
      <c r="S628" s="1357"/>
      <c r="T628" s="1381"/>
      <c r="U628" s="1382"/>
      <c r="V628" s="1383"/>
      <c r="W628" s="1294"/>
      <c r="X628" s="1295"/>
      <c r="Y628" s="1296"/>
      <c r="Z628" s="1358" t="s">
        <v>1977</v>
      </c>
      <c r="AA628" s="1359"/>
      <c r="AB628" s="1360"/>
      <c r="AC628" s="1340"/>
      <c r="AD628" s="1145"/>
      <c r="AE628" s="1341"/>
      <c r="AF628" s="1164"/>
      <c r="AG628" s="1165"/>
      <c r="AH628" s="1165"/>
      <c r="AI628" s="1165"/>
      <c r="AJ628" s="1166"/>
      <c r="AK628" s="1282"/>
      <c r="AL628" s="1283"/>
      <c r="AM628" s="1283"/>
      <c r="AN628" s="1284"/>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24</v>
      </c>
      <c r="CR628" s="41"/>
      <c r="CS628" s="41"/>
    </row>
    <row r="629" spans="1:126" ht="12.9" customHeight="1">
      <c r="B629" s="58" t="s">
        <v>546</v>
      </c>
      <c r="C629" s="1098"/>
      <c r="D629" s="1098"/>
      <c r="E629" s="1098"/>
      <c r="F629" s="1098"/>
      <c r="G629" s="1098"/>
      <c r="H629" s="1098"/>
      <c r="I629" s="1098"/>
      <c r="J629" s="1098"/>
      <c r="K629" s="1098"/>
      <c r="L629" s="1098"/>
      <c r="M629" s="1281" t="s">
        <v>1977</v>
      </c>
      <c r="N629" s="1281"/>
      <c r="O629" s="1281"/>
      <c r="P629" s="1281"/>
      <c r="Q629" s="1355"/>
      <c r="R629" s="1356"/>
      <c r="S629" s="1357"/>
      <c r="T629" s="1381"/>
      <c r="U629" s="1382"/>
      <c r="V629" s="1383"/>
      <c r="W629" s="1294"/>
      <c r="X629" s="1295"/>
      <c r="Y629" s="1296"/>
      <c r="Z629" s="1358" t="s">
        <v>1977</v>
      </c>
      <c r="AA629" s="1359"/>
      <c r="AB629" s="1360"/>
      <c r="AC629" s="1340"/>
      <c r="AD629" s="1145"/>
      <c r="AE629" s="1341"/>
      <c r="AF629" s="1164"/>
      <c r="AG629" s="1165"/>
      <c r="AH629" s="1165"/>
      <c r="AI629" s="1165"/>
      <c r="AJ629" s="1166"/>
      <c r="AK629" s="1282"/>
      <c r="AL629" s="1283"/>
      <c r="AM629" s="1283"/>
      <c r="AN629" s="1284"/>
      <c r="AO629" s="1220"/>
      <c r="AP629" s="1220"/>
      <c r="AQ629" s="1220"/>
      <c r="AR629" s="1220"/>
      <c r="AS629" s="1220"/>
      <c r="AT629" s="946" t="str">
        <f t="shared" si="33"/>
        <v/>
      </c>
      <c r="AU629" s="41"/>
      <c r="AV629" s="41"/>
      <c r="AW629" s="41"/>
      <c r="AX629" s="41"/>
      <c r="AY629" s="41"/>
      <c r="AZ629" s="41"/>
      <c r="BN629" s="1069">
        <f>IF(J752="SRO/Studio",O752,0)</f>
        <v>1</v>
      </c>
      <c r="BO629" s="1070"/>
      <c r="BP629" s="1070"/>
      <c r="BQ629" s="1070"/>
      <c r="BR629" s="1072"/>
      <c r="BS629" s="1069">
        <f>IF(J752="1 Bedroom",O752,0)</f>
        <v>0</v>
      </c>
      <c r="BT629" s="1070"/>
      <c r="BU629" s="1070"/>
      <c r="BV629" s="1070"/>
      <c r="BW629" s="1072"/>
      <c r="BX629" s="1069">
        <f>IF(J752="2 Bedrooms",O752,0)</f>
        <v>0</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174</v>
      </c>
      <c r="C630" s="1098"/>
      <c r="D630" s="1098"/>
      <c r="E630" s="1098"/>
      <c r="F630" s="1098"/>
      <c r="G630" s="1098"/>
      <c r="H630" s="1098"/>
      <c r="I630" s="1098"/>
      <c r="J630" s="1098"/>
      <c r="K630" s="1098"/>
      <c r="L630" s="1098"/>
      <c r="M630" s="1281" t="s">
        <v>1977</v>
      </c>
      <c r="N630" s="1281"/>
      <c r="O630" s="1281"/>
      <c r="P630" s="1281"/>
      <c r="Q630" s="1355"/>
      <c r="R630" s="1356"/>
      <c r="S630" s="1357"/>
      <c r="T630" s="1381"/>
      <c r="U630" s="1382"/>
      <c r="V630" s="1383"/>
      <c r="W630" s="1294"/>
      <c r="X630" s="1295"/>
      <c r="Y630" s="1296"/>
      <c r="Z630" s="1358" t="s">
        <v>1977</v>
      </c>
      <c r="AA630" s="1359"/>
      <c r="AB630" s="1360"/>
      <c r="AC630" s="1340"/>
      <c r="AD630" s="1145"/>
      <c r="AE630" s="1341"/>
      <c r="AF630" s="1164"/>
      <c r="AG630" s="1165"/>
      <c r="AH630" s="1165"/>
      <c r="AI630" s="1165"/>
      <c r="AJ630" s="1166"/>
      <c r="AK630" s="1282"/>
      <c r="AL630" s="1283"/>
      <c r="AM630" s="1283"/>
      <c r="AN630" s="1284"/>
      <c r="AO630" s="1220"/>
      <c r="AP630" s="1220"/>
      <c r="AQ630" s="1220"/>
      <c r="AR630" s="1220"/>
      <c r="AS630" s="1220"/>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81" t="s">
        <v>1977</v>
      </c>
      <c r="N631" s="1281"/>
      <c r="O631" s="1281"/>
      <c r="P631" s="1281"/>
      <c r="Q631" s="1355"/>
      <c r="R631" s="1356"/>
      <c r="S631" s="1357"/>
      <c r="T631" s="1381"/>
      <c r="U631" s="1382"/>
      <c r="V631" s="1383"/>
      <c r="W631" s="1294"/>
      <c r="X631" s="1295"/>
      <c r="Y631" s="1296"/>
      <c r="Z631" s="1358" t="s">
        <v>1977</v>
      </c>
      <c r="AA631" s="1359"/>
      <c r="AB631" s="1360"/>
      <c r="AC631" s="1340"/>
      <c r="AD631" s="1145"/>
      <c r="AE631" s="1341"/>
      <c r="AF631" s="1164"/>
      <c r="AG631" s="1165"/>
      <c r="AH631" s="1165"/>
      <c r="AI631" s="1165"/>
      <c r="AJ631" s="1166"/>
      <c r="AK631" s="1282"/>
      <c r="AL631" s="1283"/>
      <c r="AM631" s="1283"/>
      <c r="AN631" s="1284"/>
      <c r="AO631" s="1220"/>
      <c r="AP631" s="1220"/>
      <c r="AQ631" s="1220"/>
      <c r="AR631" s="1220"/>
      <c r="AS631" s="1220"/>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81" t="s">
        <v>1977</v>
      </c>
      <c r="N632" s="1281"/>
      <c r="O632" s="1281"/>
      <c r="P632" s="1281"/>
      <c r="Q632" s="1355"/>
      <c r="R632" s="1356"/>
      <c r="S632" s="1357"/>
      <c r="T632" s="1381"/>
      <c r="U632" s="1382"/>
      <c r="V632" s="1383"/>
      <c r="W632" s="1294"/>
      <c r="X632" s="1295"/>
      <c r="Y632" s="1296"/>
      <c r="Z632" s="1358" t="s">
        <v>1977</v>
      </c>
      <c r="AA632" s="1359"/>
      <c r="AB632" s="1360"/>
      <c r="AC632" s="1340"/>
      <c r="AD632" s="1145"/>
      <c r="AE632" s="1341"/>
      <c r="AF632" s="1164"/>
      <c r="AG632" s="1165"/>
      <c r="AH632" s="1165"/>
      <c r="AI632" s="1165"/>
      <c r="AJ632" s="1166"/>
      <c r="AK632" s="1282"/>
      <c r="AL632" s="1283"/>
      <c r="AM632" s="1283"/>
      <c r="AN632" s="1284"/>
      <c r="AO632" s="1220"/>
      <c r="AP632" s="1220"/>
      <c r="AQ632" s="1220"/>
      <c r="AR632" s="1220"/>
      <c r="AS632" s="1220"/>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8">
        <f>SUM(AO621:AS632)</f>
        <v>9235094</v>
      </c>
      <c r="AP633" s="1229"/>
      <c r="AQ633" s="1229"/>
      <c r="AR633" s="1229"/>
      <c r="AS633" s="1230"/>
      <c r="AT633" s="43"/>
      <c r="AU633" s="43"/>
      <c r="AV633" s="43"/>
      <c r="AW633" s="43"/>
      <c r="AX633" s="43"/>
      <c r="AY633" s="43"/>
      <c r="AZ633" s="43"/>
      <c r="BN633" s="1506">
        <f>SUM(BN629:BR632)</f>
        <v>1</v>
      </c>
      <c r="BO633" s="1507"/>
      <c r="BP633" s="1507"/>
      <c r="BQ633" s="1507"/>
      <c r="BR633" s="1508"/>
      <c r="BS633" s="1506">
        <f>SUM(BS629:BW632)</f>
        <v>0</v>
      </c>
      <c r="BT633" s="1507"/>
      <c r="BU633" s="1507"/>
      <c r="BV633" s="1507"/>
      <c r="BW633" s="1508"/>
      <c r="BX633" s="1506">
        <f>SUM(BX629:CB632)</f>
        <v>0</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1</v>
      </c>
      <c r="CT633" s="63" t="s">
        <v>1981</v>
      </c>
      <c r="CU633" s="41"/>
    </row>
    <row r="634" spans="1:126" ht="12.9"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7">
        <v>10589675</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0"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401"/>
      <c r="AO635" s="1228">
        <f>AO633+AO634</f>
        <v>19824769</v>
      </c>
      <c r="AP635" s="1229"/>
      <c r="AQ635" s="1229"/>
      <c r="AR635" s="1229"/>
      <c r="AS635" s="1230"/>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 customHeight="1">
      <c r="A637" s="61" t="s">
        <v>900</v>
      </c>
      <c r="B637" t="s">
        <v>82</v>
      </c>
      <c r="G637" s="1186" t="str">
        <f>C621</f>
        <v>Citi Bank Perm Loan</v>
      </c>
      <c r="H637" s="1186"/>
      <c r="I637" s="1186"/>
      <c r="J637" s="1186"/>
      <c r="K637" s="1186"/>
      <c r="L637" s="1186"/>
      <c r="M637" s="1186"/>
      <c r="N637" s="1186"/>
      <c r="O637" s="1186"/>
      <c r="P637" s="1186"/>
      <c r="Q637" s="1186"/>
      <c r="R637" s="1186"/>
      <c r="S637" s="12"/>
      <c r="T637" s="61" t="s">
        <v>901</v>
      </c>
      <c r="U637" t="s">
        <v>82</v>
      </c>
      <c r="Z637" s="1186" t="str">
        <f>C622</f>
        <v>Homekey</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 customHeight="1">
      <c r="A638" s="4"/>
      <c r="B638" t="s">
        <v>372</v>
      </c>
      <c r="G638" s="1056" t="s">
        <v>2428</v>
      </c>
      <c r="H638" s="1056"/>
      <c r="I638" s="1056"/>
      <c r="J638" s="1056"/>
      <c r="K638" s="1056"/>
      <c r="L638" s="1056"/>
      <c r="M638" s="1056"/>
      <c r="N638" s="1056"/>
      <c r="O638" s="1056"/>
      <c r="P638" s="1056"/>
      <c r="Q638" s="1056"/>
      <c r="R638" s="1056"/>
      <c r="S638" s="12"/>
      <c r="T638" s="4"/>
      <c r="U638" t="s">
        <v>372</v>
      </c>
      <c r="Z638" s="1056" t="s">
        <v>2435</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 customHeight="1">
      <c r="A639" s="4"/>
      <c r="B639" t="s">
        <v>430</v>
      </c>
      <c r="G639" s="1056" t="s">
        <v>2429</v>
      </c>
      <c r="H639" s="1056"/>
      <c r="I639" s="1056"/>
      <c r="J639" s="1056"/>
      <c r="K639" s="1056"/>
      <c r="L639" s="1056"/>
      <c r="M639" s="1056"/>
      <c r="N639" s="1056"/>
      <c r="O639" s="1056"/>
      <c r="P639" s="1056"/>
      <c r="Q639" s="1056"/>
      <c r="R639" s="1056"/>
      <c r="T639" s="4"/>
      <c r="U639" t="s">
        <v>430</v>
      </c>
      <c r="Z639" s="1054" t="s">
        <v>2436</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 customHeight="1">
      <c r="A640" s="4"/>
      <c r="B640" t="s">
        <v>833</v>
      </c>
      <c r="G640" s="1056" t="s">
        <v>2430</v>
      </c>
      <c r="H640" s="1056"/>
      <c r="I640" s="1056"/>
      <c r="J640" s="1056"/>
      <c r="K640" s="1056"/>
      <c r="L640" s="1056"/>
      <c r="M640" s="1056"/>
      <c r="N640" s="1056"/>
      <c r="O640" s="1056"/>
      <c r="P640" s="1056"/>
      <c r="Q640" s="1056"/>
      <c r="R640" s="1056"/>
      <c r="S640" s="12"/>
      <c r="T640" s="4"/>
      <c r="U640" t="s">
        <v>833</v>
      </c>
      <c r="Z640" s="1054" t="s">
        <v>2437</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 customHeight="1">
      <c r="A641" s="4"/>
      <c r="B641" t="s">
        <v>650</v>
      </c>
      <c r="G641" s="1058" t="s">
        <v>2431</v>
      </c>
      <c r="H641" s="1058"/>
      <c r="I641" s="1058"/>
      <c r="J641" s="1058"/>
      <c r="K641" s="1058"/>
      <c r="L641" s="1058"/>
      <c r="O641" s="42" t="s">
        <v>818</v>
      </c>
      <c r="P641" s="1318"/>
      <c r="Q641" s="1318"/>
      <c r="R641" s="1318"/>
      <c r="S641" s="14"/>
      <c r="T641" s="4"/>
      <c r="U641" t="s">
        <v>650</v>
      </c>
      <c r="Z641" s="1058">
        <v>9162632771</v>
      </c>
      <c r="AA641" s="1058"/>
      <c r="AB641" s="1058"/>
      <c r="AC641" s="1058"/>
      <c r="AD641" s="1058"/>
      <c r="AE641" s="1058"/>
      <c r="AH641" s="42" t="s">
        <v>818</v>
      </c>
      <c r="AI641" s="1318"/>
      <c r="AJ641" s="1318"/>
      <c r="AK641" s="1318"/>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 customHeight="1">
      <c r="A642" s="4"/>
      <c r="B642" t="s">
        <v>834</v>
      </c>
      <c r="H642" s="1317" t="s">
        <v>2440</v>
      </c>
      <c r="I642" s="1056"/>
      <c r="J642" s="1056"/>
      <c r="K642" s="1056"/>
      <c r="L642" s="1056"/>
      <c r="M642" s="1056"/>
      <c r="N642" s="1056"/>
      <c r="O642" s="1056"/>
      <c r="P642" s="1056"/>
      <c r="Q642" s="1056"/>
      <c r="R642" s="1056"/>
      <c r="S642" s="12"/>
      <c r="T642" s="4"/>
      <c r="U642" t="s">
        <v>834</v>
      </c>
      <c r="AA642" s="1317" t="s">
        <v>2441</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 customHeight="1">
      <c r="A645" s="61" t="s">
        <v>907</v>
      </c>
      <c r="B645" t="s">
        <v>82</v>
      </c>
      <c r="G645" s="1186">
        <f>C623</f>
        <v>0</v>
      </c>
      <c r="H645" s="1186"/>
      <c r="I645" s="1186"/>
      <c r="J645" s="1186"/>
      <c r="K645" s="1186"/>
      <c r="L645" s="1186"/>
      <c r="M645" s="1186"/>
      <c r="N645" s="1186"/>
      <c r="O645" s="1186"/>
      <c r="P645" s="1186"/>
      <c r="Q645" s="1186"/>
      <c r="R645" s="1186"/>
      <c r="T645" s="61" t="s">
        <v>431</v>
      </c>
      <c r="U645" t="s">
        <v>82</v>
      </c>
      <c r="Z645" s="1186">
        <f>C624</f>
        <v>0</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2.9" customHeight="1" thickBot="1">
      <c r="A646" s="4"/>
      <c r="B646" t="s">
        <v>372</v>
      </c>
      <c r="G646" s="1056"/>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8"/>
      <c r="H649" s="1058"/>
      <c r="I649" s="1058"/>
      <c r="J649" s="1058"/>
      <c r="K649" s="1058"/>
      <c r="L649" s="1058"/>
      <c r="O649" s="42" t="s">
        <v>818</v>
      </c>
      <c r="P649" s="1318"/>
      <c r="Q649" s="1318"/>
      <c r="R649" s="1318"/>
      <c r="T649" s="4"/>
      <c r="U649" t="s">
        <v>650</v>
      </c>
      <c r="Z649" s="1058"/>
      <c r="AA649" s="1058"/>
      <c r="AB649" s="1058"/>
      <c r="AC649" s="1058"/>
      <c r="AD649" s="1058"/>
      <c r="AE649" s="1058"/>
      <c r="AH649" s="42" t="s">
        <v>818</v>
      </c>
      <c r="AI649" s="1318"/>
      <c r="AJ649" s="1318"/>
      <c r="AK649" s="1318"/>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24</v>
      </c>
      <c r="CR649" s="41"/>
      <c r="CS649" s="41"/>
    </row>
    <row r="650" spans="1:97" ht="12.9" customHeight="1">
      <c r="A650" s="4"/>
      <c r="B650" t="s">
        <v>834</v>
      </c>
      <c r="H650" s="1056"/>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6" t="s">
        <v>482</v>
      </c>
      <c r="O651" s="1116"/>
      <c r="T651" s="4"/>
      <c r="U651" t="s">
        <v>836</v>
      </c>
      <c r="AG651" s="1116" t="s">
        <v>482</v>
      </c>
      <c r="AH651" s="1116"/>
      <c r="AM651" s="41"/>
      <c r="AN651" s="41"/>
      <c r="AO651" s="41"/>
      <c r="AP651" s="41"/>
      <c r="AQ651" s="41"/>
      <c r="AR651" s="41"/>
      <c r="AS651" s="41"/>
      <c r="AT651" s="41"/>
      <c r="AU651" s="41"/>
      <c r="AV651" s="41"/>
      <c r="AW651" s="41"/>
      <c r="AX651" s="41"/>
      <c r="AY651" s="41"/>
      <c r="AZ651" s="41"/>
      <c r="BA651" s="41"/>
      <c r="BB651" s="41"/>
      <c r="BC651" s="41"/>
      <c r="BD651" s="41"/>
      <c r="BN651" s="1506">
        <f>BN626+BN633+BN645</f>
        <v>9</v>
      </c>
      <c r="BO651" s="1507"/>
      <c r="BP651" s="1507"/>
      <c r="BQ651" s="1507"/>
      <c r="BR651" s="1508"/>
      <c r="BS651" s="1506">
        <f>BS626+BS633+BS645</f>
        <v>10</v>
      </c>
      <c r="BT651" s="1507"/>
      <c r="BU651" s="1507"/>
      <c r="BV651" s="1507"/>
      <c r="BW651" s="1508"/>
      <c r="BX651" s="1506">
        <f>BX626+BX633+BX645</f>
        <v>1</v>
      </c>
      <c r="BY651" s="1507"/>
      <c r="BZ651" s="1507"/>
      <c r="CA651" s="1507"/>
      <c r="CB651" s="1508"/>
      <c r="CC651" s="1506">
        <f>CC626+CC633+CC645</f>
        <v>0</v>
      </c>
      <c r="CD651" s="1507"/>
      <c r="CE651" s="1507"/>
      <c r="CF651" s="1507"/>
      <c r="CG651" s="1508"/>
      <c r="CH651" s="1506">
        <f>CH626+CH633+CH645</f>
        <v>1</v>
      </c>
      <c r="CI651" s="1507"/>
      <c r="CJ651" s="1507"/>
      <c r="CK651" s="1507"/>
      <c r="CL651" s="1508"/>
      <c r="CM651" s="1075">
        <f>CM645+CM633+CM626</f>
        <v>0</v>
      </c>
      <c r="CN651" s="1306"/>
      <c r="CO651" s="1306"/>
      <c r="CP651" s="1306"/>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6">
        <f>C625</f>
        <v>0</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8"/>
      <c r="H657" s="1058"/>
      <c r="I657" s="1058"/>
      <c r="J657" s="1058"/>
      <c r="K657" s="1058"/>
      <c r="L657" s="1058"/>
      <c r="O657" s="42" t="s">
        <v>818</v>
      </c>
      <c r="P657" s="1318"/>
      <c r="Q657" s="1318"/>
      <c r="R657" s="1318"/>
      <c r="T657" s="4"/>
      <c r="U657" t="s">
        <v>650</v>
      </c>
      <c r="Z657" s="1058"/>
      <c r="AA657" s="1058"/>
      <c r="AB657" s="1058"/>
      <c r="AC657" s="1058"/>
      <c r="AD657" s="1058"/>
      <c r="AE657" s="1058"/>
      <c r="AH657" s="42" t="s">
        <v>818</v>
      </c>
      <c r="AI657" s="1318"/>
      <c r="AJ657" s="1318"/>
      <c r="AK657" s="131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8"/>
      <c r="H665" s="1058"/>
      <c r="I665" s="1058"/>
      <c r="J665" s="1058"/>
      <c r="K665" s="1058"/>
      <c r="L665" s="1058"/>
      <c r="O665" s="42" t="s">
        <v>818</v>
      </c>
      <c r="P665" s="1318"/>
      <c r="Q665" s="1318"/>
      <c r="R665" s="1318"/>
      <c r="T665" s="4"/>
      <c r="U665" t="s">
        <v>650</v>
      </c>
      <c r="Z665" s="1058"/>
      <c r="AA665" s="1058"/>
      <c r="AB665" s="1058"/>
      <c r="AC665" s="1058"/>
      <c r="AD665" s="1058"/>
      <c r="AE665" s="1058"/>
      <c r="AH665" s="42" t="s">
        <v>818</v>
      </c>
      <c r="AI665" s="1318"/>
      <c r="AJ665" s="1318"/>
      <c r="AK665" s="131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8"/>
      <c r="H673" s="1058"/>
      <c r="I673" s="1058"/>
      <c r="J673" s="1058"/>
      <c r="K673" s="1058"/>
      <c r="L673" s="1058"/>
      <c r="O673" s="42" t="s">
        <v>818</v>
      </c>
      <c r="P673" s="1318"/>
      <c r="Q673" s="1318"/>
      <c r="R673" s="1318"/>
      <c r="T673" s="4"/>
      <c r="U673" t="s">
        <v>650</v>
      </c>
      <c r="Z673" s="1058"/>
      <c r="AA673" s="1058"/>
      <c r="AB673" s="1058"/>
      <c r="AC673" s="1058"/>
      <c r="AD673" s="1058"/>
      <c r="AE673" s="1058"/>
      <c r="AH673" s="42" t="s">
        <v>818</v>
      </c>
      <c r="AI673" s="1318"/>
      <c r="AJ673" s="1318"/>
      <c r="AK673" s="131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8"/>
      <c r="H681" s="1058"/>
      <c r="I681" s="1058"/>
      <c r="J681" s="1058"/>
      <c r="K681" s="1058"/>
      <c r="L681" s="1058"/>
      <c r="O681" s="42" t="s">
        <v>818</v>
      </c>
      <c r="P681" s="1318"/>
      <c r="Q681" s="1318"/>
      <c r="R681" s="1318"/>
      <c r="U681" t="s">
        <v>650</v>
      </c>
      <c r="Z681" s="1058"/>
      <c r="AA681" s="1058"/>
      <c r="AB681" s="1058"/>
      <c r="AC681" s="1058"/>
      <c r="AD681" s="1058"/>
      <c r="AE681" s="1058"/>
      <c r="AH681" s="42" t="s">
        <v>818</v>
      </c>
      <c r="AI681" s="1318"/>
      <c r="AJ681" s="1318"/>
      <c r="AK681" s="131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9" t="s">
        <v>54</v>
      </c>
      <c r="C691" s="1270"/>
      <c r="D691" s="1270"/>
      <c r="E691" s="1270"/>
      <c r="F691" s="1271"/>
      <c r="G691" s="1269" t="s">
        <v>256</v>
      </c>
      <c r="H691" s="1270"/>
      <c r="I691" s="1270"/>
      <c r="J691" s="1271"/>
      <c r="K691" s="1458" t="s">
        <v>1993</v>
      </c>
      <c r="L691" s="1459"/>
      <c r="M691" s="1459"/>
      <c r="N691" s="1460"/>
      <c r="O691" s="1269" t="s">
        <v>589</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1994</v>
      </c>
      <c r="AI691" s="1270"/>
      <c r="AJ691" s="1270"/>
      <c r="AK691" s="1270"/>
      <c r="AL691" s="1271"/>
      <c r="AM691" s="1269" t="s">
        <v>1995</v>
      </c>
      <c r="AN691" s="1270"/>
      <c r="AO691" s="127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2"/>
      <c r="C692" s="1273"/>
      <c r="D692" s="1273"/>
      <c r="E692" s="1273"/>
      <c r="F692" s="1274"/>
      <c r="G692" s="1272"/>
      <c r="H692" s="1273"/>
      <c r="I692" s="1273"/>
      <c r="J692" s="1274"/>
      <c r="K692" s="1461"/>
      <c r="L692" s="1462"/>
      <c r="M692" s="1462"/>
      <c r="N692" s="1463"/>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2"/>
      <c r="C693" s="1273"/>
      <c r="D693" s="1273"/>
      <c r="E693" s="1273"/>
      <c r="F693" s="1274"/>
      <c r="G693" s="1272"/>
      <c r="H693" s="1273"/>
      <c r="I693" s="1273"/>
      <c r="J693" s="1274"/>
      <c r="K693" s="1461"/>
      <c r="L693" s="1462"/>
      <c r="M693" s="1462"/>
      <c r="N693" s="1463"/>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5"/>
      <c r="C694" s="1276"/>
      <c r="D694" s="1276"/>
      <c r="E694" s="1276"/>
      <c r="F694" s="1277"/>
      <c r="G694" s="1275"/>
      <c r="H694" s="1276"/>
      <c r="I694" s="1276"/>
      <c r="J694" s="1277"/>
      <c r="K694" s="1461"/>
      <c r="L694" s="1462"/>
      <c r="M694" s="1462"/>
      <c r="N694" s="1463"/>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441</v>
      </c>
      <c r="C695" s="1081"/>
      <c r="D695" s="1081"/>
      <c r="E695" s="1081"/>
      <c r="F695" s="1082"/>
      <c r="G695" s="1083">
        <v>4</v>
      </c>
      <c r="H695" s="1084"/>
      <c r="I695" s="1084"/>
      <c r="J695" s="1085"/>
      <c r="K695" s="1086">
        <v>349</v>
      </c>
      <c r="L695" s="1087"/>
      <c r="M695" s="1087"/>
      <c r="N695" s="1088"/>
      <c r="O695" s="1089">
        <v>951</v>
      </c>
      <c r="P695" s="1090"/>
      <c r="Q695" s="1090"/>
      <c r="R695" s="1090"/>
      <c r="S695" s="1091"/>
      <c r="T695" s="1092">
        <f t="shared" ref="T695:T729" si="45">G695*O695</f>
        <v>3804</v>
      </c>
      <c r="U695" s="1093"/>
      <c r="V695" s="1093"/>
      <c r="W695" s="1093"/>
      <c r="X695" s="1094"/>
      <c r="Y695" s="1089"/>
      <c r="Z695" s="1090"/>
      <c r="AA695" s="1090"/>
      <c r="AB695" s="1091"/>
      <c r="AC695" s="1092">
        <f t="shared" ref="AC695:AC729" si="46">O695+Y695</f>
        <v>951</v>
      </c>
      <c r="AD695" s="1093"/>
      <c r="AE695" s="1093"/>
      <c r="AF695" s="1093"/>
      <c r="AG695" s="1094"/>
      <c r="AH695" s="1349">
        <v>0.3</v>
      </c>
      <c r="AI695" s="1350"/>
      <c r="AJ695" s="1350"/>
      <c r="AK695" s="1350"/>
      <c r="AL695" s="1351"/>
      <c r="AM695" s="1077">
        <f>IF($AH695&gt;0,($AC695/$AV695),"")</f>
        <v>0.3</v>
      </c>
      <c r="AN695" s="1078"/>
      <c r="AO695" s="1079"/>
      <c r="AV695" s="43">
        <f t="shared" ref="AV695:AV729" si="47">IF($G695=0,"N/A",VLOOKUP($T$189,TC_Rent,(MATCH($B695,bedrooms,FALSE))))</f>
        <v>3170</v>
      </c>
      <c r="AX695" s="43"/>
      <c r="AY695" s="445">
        <f t="shared" ref="AY695:AY718" si="48">G695</f>
        <v>4</v>
      </c>
      <c r="AZ695" s="452">
        <f t="shared" ref="AZ695:AZ718" si="49">IF($AY$730=0,"",AY695/$AY$730)</f>
        <v>0.2</v>
      </c>
      <c r="BA695" s="453">
        <f t="shared" ref="BA695:BA718" si="50">IF(AZ695="","",AZ695*AH695)</f>
        <v>0.06</v>
      </c>
      <c r="BB695" s="41"/>
      <c r="BC695" s="41"/>
      <c r="BD695" s="41"/>
      <c r="BE695" s="851">
        <f t="shared" ref="BE695:BE718" si="51">G695</f>
        <v>4</v>
      </c>
      <c r="BF695" s="855">
        <f t="shared" ref="BF695:BF718" si="52">IF(BE695=0,"",BE695/$BE$730)</f>
        <v>0.2</v>
      </c>
      <c r="BG695" s="856">
        <f t="shared" ref="BG695:BG718" si="53">IF(BF695="","",BF695*AM695)</f>
        <v>0.06</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441</v>
      </c>
      <c r="C696" s="1081"/>
      <c r="D696" s="1081"/>
      <c r="E696" s="1081"/>
      <c r="F696" s="1082"/>
      <c r="G696" s="1083">
        <v>4</v>
      </c>
      <c r="H696" s="1084"/>
      <c r="I696" s="1084"/>
      <c r="J696" s="1085"/>
      <c r="K696" s="1086">
        <v>349</v>
      </c>
      <c r="L696" s="1087"/>
      <c r="M696" s="1087"/>
      <c r="N696" s="1088"/>
      <c r="O696" s="1089">
        <v>951</v>
      </c>
      <c r="P696" s="1090"/>
      <c r="Q696" s="1090"/>
      <c r="R696" s="1090"/>
      <c r="S696" s="1091"/>
      <c r="T696" s="1092">
        <f t="shared" si="45"/>
        <v>3804</v>
      </c>
      <c r="U696" s="1093"/>
      <c r="V696" s="1093"/>
      <c r="W696" s="1093"/>
      <c r="X696" s="1094"/>
      <c r="Y696" s="1089"/>
      <c r="Z696" s="1090"/>
      <c r="AA696" s="1090"/>
      <c r="AB696" s="1091"/>
      <c r="AC696" s="1092">
        <f t="shared" si="46"/>
        <v>951</v>
      </c>
      <c r="AD696" s="1093"/>
      <c r="AE696" s="1093"/>
      <c r="AF696" s="1093"/>
      <c r="AG696" s="1094"/>
      <c r="AH696" s="1095">
        <v>0.3</v>
      </c>
      <c r="AI696" s="1096"/>
      <c r="AJ696" s="1096"/>
      <c r="AK696" s="1096"/>
      <c r="AL696" s="1097"/>
      <c r="AM696" s="1077">
        <f t="shared" ref="AM696:AM718" si="54">IF($AH696&gt;0,($AC696/$AV696), "")</f>
        <v>0.3</v>
      </c>
      <c r="AN696" s="1078"/>
      <c r="AO696" s="1079"/>
      <c r="AV696" s="43">
        <f t="shared" si="47"/>
        <v>3170</v>
      </c>
      <c r="AX696" s="43"/>
      <c r="AY696" s="446">
        <f t="shared" si="48"/>
        <v>4</v>
      </c>
      <c r="AZ696" s="452">
        <f t="shared" si="49"/>
        <v>0.2</v>
      </c>
      <c r="BA696" s="453">
        <f t="shared" si="50"/>
        <v>0.06</v>
      </c>
      <c r="BB696" s="41"/>
      <c r="BC696" s="41"/>
      <c r="BD696" s="41"/>
      <c r="BE696" s="851">
        <f t="shared" si="51"/>
        <v>4</v>
      </c>
      <c r="BF696" s="855">
        <f t="shared" si="52"/>
        <v>0.2</v>
      </c>
      <c r="BG696" s="856">
        <f t="shared" si="53"/>
        <v>0.06</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t="s">
        <v>442</v>
      </c>
      <c r="C697" s="1081"/>
      <c r="D697" s="1081"/>
      <c r="E697" s="1081"/>
      <c r="F697" s="1082"/>
      <c r="G697" s="1083">
        <v>10</v>
      </c>
      <c r="H697" s="1084"/>
      <c r="I697" s="1084"/>
      <c r="J697" s="1085"/>
      <c r="K697" s="1086">
        <v>452</v>
      </c>
      <c r="L697" s="1087"/>
      <c r="M697" s="1087"/>
      <c r="N697" s="1088"/>
      <c r="O697" s="1089">
        <v>1018</v>
      </c>
      <c r="P697" s="1090"/>
      <c r="Q697" s="1090"/>
      <c r="R697" s="1090"/>
      <c r="S697" s="1091"/>
      <c r="T697" s="1092">
        <f t="shared" si="45"/>
        <v>10180</v>
      </c>
      <c r="U697" s="1093"/>
      <c r="V697" s="1093"/>
      <c r="W697" s="1093"/>
      <c r="X697" s="1094"/>
      <c r="Y697" s="1089"/>
      <c r="Z697" s="1090"/>
      <c r="AA697" s="1090"/>
      <c r="AB697" s="1091"/>
      <c r="AC697" s="1092">
        <f t="shared" si="46"/>
        <v>1018</v>
      </c>
      <c r="AD697" s="1093"/>
      <c r="AE697" s="1093"/>
      <c r="AF697" s="1093"/>
      <c r="AG697" s="1094"/>
      <c r="AH697" s="1095">
        <v>0.3</v>
      </c>
      <c r="AI697" s="1096"/>
      <c r="AJ697" s="1096"/>
      <c r="AK697" s="1096"/>
      <c r="AL697" s="1097"/>
      <c r="AM697" s="1077">
        <f t="shared" si="54"/>
        <v>0.29976442873969378</v>
      </c>
      <c r="AN697" s="1078"/>
      <c r="AO697" s="1079"/>
      <c r="AV697" s="43">
        <f t="shared" si="47"/>
        <v>3396</v>
      </c>
      <c r="AX697" s="41"/>
      <c r="AY697" s="446">
        <f t="shared" si="48"/>
        <v>10</v>
      </c>
      <c r="AZ697" s="452">
        <f t="shared" si="49"/>
        <v>0.5</v>
      </c>
      <c r="BA697" s="453">
        <f t="shared" si="50"/>
        <v>0.15</v>
      </c>
      <c r="BB697" s="41"/>
      <c r="BC697" s="41"/>
      <c r="BD697" s="41"/>
      <c r="BE697" s="851">
        <f t="shared" si="51"/>
        <v>10</v>
      </c>
      <c r="BF697" s="855">
        <f t="shared" si="52"/>
        <v>0.5</v>
      </c>
      <c r="BG697" s="856">
        <f t="shared" si="53"/>
        <v>0.14988221436984689</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t="s">
        <v>780</v>
      </c>
      <c r="C698" s="1081"/>
      <c r="D698" s="1081"/>
      <c r="E698" s="1081"/>
      <c r="F698" s="1082"/>
      <c r="G698" s="1083">
        <v>1</v>
      </c>
      <c r="H698" s="1084"/>
      <c r="I698" s="1084"/>
      <c r="J698" s="1085"/>
      <c r="K698" s="1086">
        <v>704</v>
      </c>
      <c r="L698" s="1087"/>
      <c r="M698" s="1087"/>
      <c r="N698" s="1088"/>
      <c r="O698" s="1089">
        <v>1222</v>
      </c>
      <c r="P698" s="1090"/>
      <c r="Q698" s="1090"/>
      <c r="R698" s="1090"/>
      <c r="S698" s="1091"/>
      <c r="T698" s="1092">
        <f t="shared" si="45"/>
        <v>1222</v>
      </c>
      <c r="U698" s="1093"/>
      <c r="V698" s="1093"/>
      <c r="W698" s="1093"/>
      <c r="X698" s="1094"/>
      <c r="Y698" s="1089"/>
      <c r="Z698" s="1090"/>
      <c r="AA698" s="1090"/>
      <c r="AB698" s="1091"/>
      <c r="AC698" s="1092">
        <f t="shared" si="46"/>
        <v>1222</v>
      </c>
      <c r="AD698" s="1093"/>
      <c r="AE698" s="1093"/>
      <c r="AF698" s="1093"/>
      <c r="AG698" s="1094"/>
      <c r="AH698" s="1095">
        <v>0.3</v>
      </c>
      <c r="AI698" s="1096"/>
      <c r="AJ698" s="1096"/>
      <c r="AK698" s="1096"/>
      <c r="AL698" s="1097"/>
      <c r="AM698" s="1077">
        <f t="shared" si="54"/>
        <v>0.29995090819833087</v>
      </c>
      <c r="AN698" s="1078"/>
      <c r="AO698" s="1079"/>
      <c r="AV698" s="43">
        <f t="shared" si="47"/>
        <v>4074</v>
      </c>
      <c r="AX698" s="41"/>
      <c r="AY698" s="446">
        <f t="shared" si="48"/>
        <v>1</v>
      </c>
      <c r="AZ698" s="452">
        <f t="shared" si="49"/>
        <v>0.05</v>
      </c>
      <c r="BA698" s="453">
        <f t="shared" si="50"/>
        <v>1.4999999999999999E-2</v>
      </c>
      <c r="BB698" s="41"/>
      <c r="BC698" s="41"/>
      <c r="BD698" s="41"/>
      <c r="BE698" s="851">
        <f t="shared" si="51"/>
        <v>1</v>
      </c>
      <c r="BF698" s="855">
        <f t="shared" si="52"/>
        <v>0.05</v>
      </c>
      <c r="BG698" s="856">
        <f t="shared" si="53"/>
        <v>1.4997545409916544E-2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t="s">
        <v>782</v>
      </c>
      <c r="C699" s="1081"/>
      <c r="D699" s="1081"/>
      <c r="E699" s="1081"/>
      <c r="F699" s="1082"/>
      <c r="G699" s="1083">
        <v>1</v>
      </c>
      <c r="H699" s="1084"/>
      <c r="I699" s="1084"/>
      <c r="J699" s="1085"/>
      <c r="K699" s="1086">
        <v>1626</v>
      </c>
      <c r="L699" s="1087"/>
      <c r="M699" s="1087"/>
      <c r="N699" s="1088"/>
      <c r="O699" s="1089">
        <v>1575</v>
      </c>
      <c r="P699" s="1090"/>
      <c r="Q699" s="1090"/>
      <c r="R699" s="1090"/>
      <c r="S699" s="1091"/>
      <c r="T699" s="1092">
        <f t="shared" si="45"/>
        <v>1575</v>
      </c>
      <c r="U699" s="1093"/>
      <c r="V699" s="1093"/>
      <c r="W699" s="1093"/>
      <c r="X699" s="1094"/>
      <c r="Y699" s="1089"/>
      <c r="Z699" s="1090"/>
      <c r="AA699" s="1090"/>
      <c r="AB699" s="1091"/>
      <c r="AC699" s="1092">
        <f t="shared" si="46"/>
        <v>1575</v>
      </c>
      <c r="AD699" s="1093"/>
      <c r="AE699" s="1093"/>
      <c r="AF699" s="1093"/>
      <c r="AG699" s="1094"/>
      <c r="AH699" s="1095">
        <v>0.3</v>
      </c>
      <c r="AI699" s="1096"/>
      <c r="AJ699" s="1096"/>
      <c r="AK699" s="1096"/>
      <c r="AL699" s="1097"/>
      <c r="AM699" s="1077">
        <f t="shared" si="54"/>
        <v>0.29988575780654991</v>
      </c>
      <c r="AN699" s="1078"/>
      <c r="AO699" s="1079"/>
      <c r="AV699" s="43">
        <f t="shared" si="47"/>
        <v>5252</v>
      </c>
      <c r="AX699" s="41"/>
      <c r="AY699" s="446">
        <f t="shared" si="48"/>
        <v>1</v>
      </c>
      <c r="AZ699" s="452">
        <f t="shared" si="49"/>
        <v>0.05</v>
      </c>
      <c r="BA699" s="453">
        <f t="shared" si="50"/>
        <v>1.4999999999999999E-2</v>
      </c>
      <c r="BB699" s="41"/>
      <c r="BC699" s="41"/>
      <c r="BD699" s="41"/>
      <c r="BE699" s="851">
        <f t="shared" si="51"/>
        <v>1</v>
      </c>
      <c r="BF699" s="855">
        <f t="shared" si="52"/>
        <v>0.05</v>
      </c>
      <c r="BG699" s="856">
        <f t="shared" si="53"/>
        <v>1.4994287890327496E-2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5"/>
        <v>0</v>
      </c>
      <c r="U700" s="1093"/>
      <c r="V700" s="1093"/>
      <c r="W700" s="1093"/>
      <c r="X700" s="1094"/>
      <c r="Y700" s="1089"/>
      <c r="Z700" s="1090"/>
      <c r="AA700" s="1090"/>
      <c r="AB700" s="1091"/>
      <c r="AC700" s="1092">
        <f t="shared" si="46"/>
        <v>0</v>
      </c>
      <c r="AD700" s="1093"/>
      <c r="AE700" s="1093"/>
      <c r="AF700" s="1093"/>
      <c r="AG700" s="1094"/>
      <c r="AH700" s="1095"/>
      <c r="AI700" s="1096"/>
      <c r="AJ700" s="1096"/>
      <c r="AK700" s="1096"/>
      <c r="AL700" s="1097"/>
      <c r="AM700" s="1077" t="str">
        <f t="shared" si="54"/>
        <v/>
      </c>
      <c r="AN700" s="1078"/>
      <c r="AO700" s="1079"/>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5"/>
        <v>0</v>
      </c>
      <c r="U701" s="1093"/>
      <c r="V701" s="1093"/>
      <c r="W701" s="1093"/>
      <c r="X701" s="1094"/>
      <c r="Y701" s="1089"/>
      <c r="Z701" s="1090"/>
      <c r="AA701" s="1090"/>
      <c r="AB701" s="1091"/>
      <c r="AC701" s="1092">
        <f t="shared" si="46"/>
        <v>0</v>
      </c>
      <c r="AD701" s="1093"/>
      <c r="AE701" s="1093"/>
      <c r="AF701" s="1093"/>
      <c r="AG701" s="1094"/>
      <c r="AH701" s="1095"/>
      <c r="AI701" s="1096"/>
      <c r="AJ701" s="1096"/>
      <c r="AK701" s="1096"/>
      <c r="AL701" s="1097"/>
      <c r="AM701" s="1077" t="str">
        <f t="shared" si="54"/>
        <v/>
      </c>
      <c r="AN701" s="1078"/>
      <c r="AO701" s="1079"/>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5"/>
        <v>0</v>
      </c>
      <c r="U702" s="1093"/>
      <c r="V702" s="1093"/>
      <c r="W702" s="1093"/>
      <c r="X702" s="1094"/>
      <c r="Y702" s="1089"/>
      <c r="Z702" s="1090"/>
      <c r="AA702" s="1090"/>
      <c r="AB702" s="1091"/>
      <c r="AC702" s="1092">
        <f t="shared" si="46"/>
        <v>0</v>
      </c>
      <c r="AD702" s="1093"/>
      <c r="AE702" s="1093"/>
      <c r="AF702" s="1093"/>
      <c r="AG702" s="1094"/>
      <c r="AH702" s="1095"/>
      <c r="AI702" s="1096"/>
      <c r="AJ702" s="1096"/>
      <c r="AK702" s="1096"/>
      <c r="AL702" s="1097"/>
      <c r="AM702" s="1077" t="str">
        <f t="shared" si="54"/>
        <v/>
      </c>
      <c r="AN702" s="1078"/>
      <c r="AO702" s="1079"/>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3" t="s">
        <v>877</v>
      </c>
      <c r="C730" s="1104"/>
      <c r="D730" s="1104"/>
      <c r="E730" s="1104"/>
      <c r="F730" s="1106"/>
      <c r="G730" s="1302">
        <f>SUM(G695:J729)</f>
        <v>20</v>
      </c>
      <c r="H730" s="1303"/>
      <c r="I730" s="1303"/>
      <c r="J730" s="1304"/>
      <c r="O730" s="430" t="s">
        <v>876</v>
      </c>
      <c r="P730" s="168"/>
      <c r="Q730" s="168"/>
      <c r="R730" s="168"/>
      <c r="S730" s="842"/>
      <c r="T730" s="1092">
        <f>SUM(T695:X729)</f>
        <v>20585</v>
      </c>
      <c r="U730" s="1093"/>
      <c r="V730" s="1093"/>
      <c r="W730" s="1093"/>
      <c r="X730" s="1094"/>
      <c r="AC730" s="843" t="s">
        <v>1139</v>
      </c>
      <c r="AD730" s="844"/>
      <c r="AE730" s="844"/>
      <c r="AF730" s="844"/>
      <c r="AG730" s="845"/>
      <c r="AH730" s="1509">
        <f>BA730</f>
        <v>0.30000000000000004</v>
      </c>
      <c r="AI730" s="1510"/>
      <c r="AJ730" s="1510"/>
      <c r="AK730" s="1510"/>
      <c r="AL730" s="1511"/>
      <c r="AM730" s="1509">
        <f>IFERROR(BG730,0)</f>
        <v>0.2998740476700909</v>
      </c>
      <c r="AN730" s="1510"/>
      <c r="AO730" s="1511"/>
      <c r="AX730" s="62" t="s">
        <v>875</v>
      </c>
      <c r="AY730" s="454">
        <f>SUM(AY695:AY729)</f>
        <v>20</v>
      </c>
      <c r="AZ730" s="455">
        <f>SUM(AZ695:AZ729)</f>
        <v>1</v>
      </c>
      <c r="BA730" s="455">
        <f>SUM(BA695:BA729)</f>
        <v>0.30000000000000004</v>
      </c>
      <c r="BB730" s="41"/>
      <c r="BC730" s="41"/>
      <c r="BD730" s="41"/>
      <c r="BE730" s="852">
        <f>SUM(BE695:BE729)</f>
        <v>20</v>
      </c>
      <c r="BF730" s="853">
        <f>SUM(BF695:BF729)</f>
        <v>1</v>
      </c>
      <c r="BG730" s="853">
        <f>SUM(BG695:BG729)</f>
        <v>0.2998740476700909</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0" t="s">
        <v>2059</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40">
        <f>CQ628</f>
        <v>24</v>
      </c>
      <c r="P733" s="1240"/>
      <c r="Q733" s="1240"/>
      <c r="R733" s="1240"/>
      <c r="S733" s="924"/>
      <c r="T733" s="924"/>
      <c r="U733" s="270" t="s">
        <v>2061</v>
      </c>
      <c r="V733" s="922"/>
      <c r="W733" s="922"/>
      <c r="X733" s="922"/>
      <c r="Y733" s="923"/>
      <c r="Z733" s="923"/>
      <c r="AA733" s="923"/>
      <c r="AB733" s="923"/>
      <c r="AC733" s="922"/>
      <c r="AD733" s="922"/>
      <c r="AE733" s="922"/>
      <c r="AF733" s="922"/>
      <c r="AG733" s="1307">
        <v>24</v>
      </c>
      <c r="AH733" s="1307"/>
      <c r="AI733" s="1307"/>
      <c r="AJ733" s="1307"/>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124</v>
      </c>
      <c r="AA736" s="1515"/>
      <c r="AB736" s="1515"/>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9" t="s">
        <v>54</v>
      </c>
      <c r="K748" s="1270"/>
      <c r="L748" s="1270"/>
      <c r="M748" s="1270"/>
      <c r="N748" s="1271"/>
      <c r="O748" s="1225" t="s">
        <v>256</v>
      </c>
      <c r="P748" s="1225"/>
      <c r="Q748" s="1225"/>
      <c r="R748" s="1225"/>
      <c r="S748" s="1225"/>
      <c r="T748" s="1458" t="s">
        <v>1993</v>
      </c>
      <c r="U748" s="1459"/>
      <c r="V748" s="1459"/>
      <c r="W748" s="1460"/>
      <c r="X748" s="1269" t="s">
        <v>589</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2"/>
      <c r="K749" s="1273"/>
      <c r="L749" s="1273"/>
      <c r="M749" s="1273"/>
      <c r="N749" s="1274"/>
      <c r="O749" s="1225"/>
      <c r="P749" s="1225"/>
      <c r="Q749" s="1225"/>
      <c r="R749" s="1225"/>
      <c r="S749" s="1225"/>
      <c r="T749" s="1461"/>
      <c r="U749" s="1462"/>
      <c r="V749" s="1462"/>
      <c r="W749" s="1463"/>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2"/>
      <c r="K750" s="1273"/>
      <c r="L750" s="1273"/>
      <c r="M750" s="1273"/>
      <c r="N750" s="1274"/>
      <c r="O750" s="1225"/>
      <c r="P750" s="1225"/>
      <c r="Q750" s="1225"/>
      <c r="R750" s="1225"/>
      <c r="S750" s="1225"/>
      <c r="T750" s="1461"/>
      <c r="U750" s="1462"/>
      <c r="V750" s="1462"/>
      <c r="W750" s="1463"/>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5"/>
      <c r="K751" s="1276"/>
      <c r="L751" s="1276"/>
      <c r="M751" s="1276"/>
      <c r="N751" s="1277"/>
      <c r="O751" s="1225"/>
      <c r="P751" s="1225"/>
      <c r="Q751" s="1225"/>
      <c r="R751" s="1225"/>
      <c r="S751" s="1225"/>
      <c r="T751" s="1512"/>
      <c r="U751" s="1513"/>
      <c r="V751" s="1513"/>
      <c r="W751" s="1514"/>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441</v>
      </c>
      <c r="K752" s="1081"/>
      <c r="L752" s="1081"/>
      <c r="M752" s="1081"/>
      <c r="N752" s="1082"/>
      <c r="O752" s="1241">
        <v>1</v>
      </c>
      <c r="P752" s="1241"/>
      <c r="Q752" s="1241"/>
      <c r="R752" s="1241"/>
      <c r="S752" s="1241"/>
      <c r="T752" s="1086"/>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41"/>
      <c r="P753" s="1241"/>
      <c r="Q753" s="1241"/>
      <c r="R753" s="1241"/>
      <c r="S753" s="1241"/>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41"/>
      <c r="P754" s="1241"/>
      <c r="Q754" s="1241"/>
      <c r="R754" s="1241"/>
      <c r="S754" s="1241"/>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41"/>
      <c r="P755" s="1241"/>
      <c r="Q755" s="1241"/>
      <c r="R755" s="1241"/>
      <c r="S755" s="1241"/>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3" t="s">
        <v>877</v>
      </c>
      <c r="K756" s="1104"/>
      <c r="L756" s="1104"/>
      <c r="M756" s="1104"/>
      <c r="N756" s="1106"/>
      <c r="O756" s="1075">
        <f>SUM(O752:S755)</f>
        <v>1</v>
      </c>
      <c r="P756" s="1306"/>
      <c r="Q756" s="1306"/>
      <c r="R756" s="1306"/>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9" t="s">
        <v>54</v>
      </c>
      <c r="K762" s="1270"/>
      <c r="L762" s="1270"/>
      <c r="M762" s="1270"/>
      <c r="N762" s="1271"/>
      <c r="O762" s="1225" t="s">
        <v>256</v>
      </c>
      <c r="P762" s="1225"/>
      <c r="Q762" s="1225"/>
      <c r="R762" s="1225"/>
      <c r="S762" s="1225"/>
      <c r="T762" s="1458" t="s">
        <v>1993</v>
      </c>
      <c r="U762" s="1459"/>
      <c r="V762" s="1459"/>
      <c r="W762" s="1460"/>
      <c r="X762" s="1269" t="s">
        <v>589</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2"/>
      <c r="K763" s="1273"/>
      <c r="L763" s="1273"/>
      <c r="M763" s="1273"/>
      <c r="N763" s="1274"/>
      <c r="O763" s="1225"/>
      <c r="P763" s="1225"/>
      <c r="Q763" s="1225"/>
      <c r="R763" s="1225"/>
      <c r="S763" s="1225"/>
      <c r="T763" s="1461"/>
      <c r="U763" s="1462"/>
      <c r="V763" s="1462"/>
      <c r="W763" s="1463"/>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2"/>
      <c r="K764" s="1273"/>
      <c r="L764" s="1273"/>
      <c r="M764" s="1273"/>
      <c r="N764" s="1274"/>
      <c r="O764" s="1225"/>
      <c r="P764" s="1225"/>
      <c r="Q764" s="1225"/>
      <c r="R764" s="1225"/>
      <c r="S764" s="1225"/>
      <c r="T764" s="1461"/>
      <c r="U764" s="1462"/>
      <c r="V764" s="1462"/>
      <c r="W764" s="1463"/>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5"/>
      <c r="K765" s="1276"/>
      <c r="L765" s="1276"/>
      <c r="M765" s="1276"/>
      <c r="N765" s="1277"/>
      <c r="O765" s="1225"/>
      <c r="P765" s="1225"/>
      <c r="Q765" s="1225"/>
      <c r="R765" s="1225"/>
      <c r="S765" s="1225"/>
      <c r="T765" s="1512"/>
      <c r="U765" s="1513"/>
      <c r="V765" s="1513"/>
      <c r="W765" s="1514"/>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41"/>
      <c r="P766" s="1241"/>
      <c r="Q766" s="1241"/>
      <c r="R766" s="1241"/>
      <c r="S766" s="1241"/>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41"/>
      <c r="P767" s="1241"/>
      <c r="Q767" s="1241"/>
      <c r="R767" s="1241"/>
      <c r="S767" s="1241"/>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41"/>
      <c r="P768" s="1241"/>
      <c r="Q768" s="1241"/>
      <c r="R768" s="1241"/>
      <c r="S768" s="1241"/>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41"/>
      <c r="P769" s="1241"/>
      <c r="Q769" s="1241"/>
      <c r="R769" s="1241"/>
      <c r="S769" s="1241"/>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41"/>
      <c r="P770" s="1241"/>
      <c r="Q770" s="1241"/>
      <c r="R770" s="1241"/>
      <c r="S770" s="1241"/>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41"/>
      <c r="P771" s="1241"/>
      <c r="Q771" s="1241"/>
      <c r="R771" s="1241"/>
      <c r="S771" s="1241"/>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41"/>
      <c r="P772" s="1241"/>
      <c r="Q772" s="1241"/>
      <c r="R772" s="1241"/>
      <c r="S772" s="1241"/>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41"/>
      <c r="P773" s="1241"/>
      <c r="Q773" s="1241"/>
      <c r="R773" s="1241"/>
      <c r="S773" s="1241"/>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41"/>
      <c r="P774" s="1241"/>
      <c r="Q774" s="1241"/>
      <c r="R774" s="1241"/>
      <c r="S774" s="1241"/>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41"/>
      <c r="P775" s="1241"/>
      <c r="Q775" s="1241"/>
      <c r="R775" s="1241"/>
      <c r="S775" s="1241"/>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3" t="s">
        <v>877</v>
      </c>
      <c r="K776" s="1104"/>
      <c r="L776" s="1104"/>
      <c r="M776" s="1104"/>
      <c r="N776" s="1106"/>
      <c r="O776" s="1240">
        <f>SUM(O766:S775)</f>
        <v>0</v>
      </c>
      <c r="P776" s="1240"/>
      <c r="Q776" s="1240"/>
      <c r="R776" s="1240"/>
      <c r="S776" s="1240"/>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301">
        <f>T730+AC756+AC776</f>
        <v>20585</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301">
        <f>(T730+AC756+AC776)*12</f>
        <v>247020</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3">
        <v>15</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9">
        <v>20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7" t="s">
        <v>2442</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8">
        <f>'Subsidy Contract Calculation'!I40</f>
        <v>226272</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7">
        <v>5040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58" t="s">
        <v>562</v>
      </c>
      <c r="Q795" s="1159"/>
      <c r="R795" s="1159"/>
      <c r="S795" s="1159"/>
      <c r="T795" s="1159"/>
      <c r="U795" s="1159"/>
      <c r="V795" s="1159"/>
      <c r="W795" s="1159"/>
      <c r="X795" s="1159"/>
      <c r="Y795" s="1160"/>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8">
        <f>SUM(Z792:AE795)</f>
        <v>5040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8">
        <f>Z796+Y780+Z788</f>
        <v>478332</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8" t="s">
        <v>878</v>
      </c>
      <c r="N802" s="1168"/>
      <c r="O802" s="1168"/>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5" t="s">
        <v>563</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2"/>
      <c r="N803" s="1172"/>
      <c r="O803" s="1172"/>
      <c r="P803" s="1216"/>
      <c r="Q803" s="1227"/>
      <c r="R803" s="1227"/>
      <c r="S803" s="1227"/>
      <c r="T803" s="1227"/>
      <c r="U803" s="1227"/>
      <c r="V803" s="1227"/>
      <c r="W803" s="1227"/>
      <c r="X803" s="1227"/>
      <c r="Y803" s="1227"/>
      <c r="Z803" s="1227"/>
      <c r="AA803" s="1227"/>
      <c r="AB803" s="1227"/>
      <c r="AC803" s="1227"/>
      <c r="AD803" s="1227"/>
      <c r="AE803" s="1227"/>
      <c r="AF803" s="1227"/>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5" t="s">
        <v>694</v>
      </c>
      <c r="D804" s="1186"/>
      <c r="E804" s="1186"/>
      <c r="F804" s="1186"/>
      <c r="G804" s="1186"/>
      <c r="H804" s="1186"/>
      <c r="I804" s="54"/>
      <c r="J804" s="54"/>
      <c r="K804" s="54"/>
      <c r="L804" s="55"/>
      <c r="M804" s="1182"/>
      <c r="N804" s="1182"/>
      <c r="O804" s="1182"/>
      <c r="P804" s="1182"/>
      <c r="Q804" s="1182"/>
      <c r="R804" s="1182"/>
      <c r="S804" s="1182"/>
      <c r="T804" s="1182"/>
      <c r="U804" s="1182"/>
      <c r="V804" s="1182"/>
      <c r="W804" s="1182"/>
      <c r="X804" s="1182"/>
      <c r="Y804" s="1182"/>
      <c r="Z804" s="1182"/>
      <c r="AA804" s="1182"/>
      <c r="AB804" s="1182"/>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3" t="s">
        <v>695</v>
      </c>
      <c r="D805" s="1184"/>
      <c r="E805" s="1184"/>
      <c r="F805" s="1184"/>
      <c r="G805" s="1184"/>
      <c r="H805" s="1184"/>
      <c r="I805" s="9"/>
      <c r="J805" s="9"/>
      <c r="K805" s="9"/>
      <c r="L805" s="52"/>
      <c r="M805" s="1182"/>
      <c r="N805" s="1182"/>
      <c r="O805" s="1182"/>
      <c r="P805" s="1182"/>
      <c r="Q805" s="1182"/>
      <c r="R805" s="1182"/>
      <c r="S805" s="1182"/>
      <c r="T805" s="1182"/>
      <c r="U805" s="1182"/>
      <c r="V805" s="1182"/>
      <c r="W805" s="1182"/>
      <c r="X805" s="1182"/>
      <c r="Y805" s="1182"/>
      <c r="Z805" s="1182"/>
      <c r="AA805" s="1182"/>
      <c r="AB805" s="1182"/>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3" t="s">
        <v>71</v>
      </c>
      <c r="D806" s="1184"/>
      <c r="E806" s="1184"/>
      <c r="F806" s="1184"/>
      <c r="G806" s="1184"/>
      <c r="H806" s="1184"/>
      <c r="I806" s="66"/>
      <c r="J806" s="66"/>
      <c r="K806" s="66"/>
      <c r="L806" s="67"/>
      <c r="M806" s="1182"/>
      <c r="N806" s="1182"/>
      <c r="O806" s="1182"/>
      <c r="P806" s="1182"/>
      <c r="Q806" s="1182"/>
      <c r="R806" s="1182"/>
      <c r="S806" s="1182"/>
      <c r="T806" s="1182"/>
      <c r="U806" s="1182"/>
      <c r="V806" s="1182"/>
      <c r="W806" s="1182"/>
      <c r="X806" s="1182"/>
      <c r="Y806" s="1182"/>
      <c r="Z806" s="1182"/>
      <c r="AA806" s="1182"/>
      <c r="AB806" s="1182"/>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3" t="s">
        <v>790</v>
      </c>
      <c r="D808" s="1184"/>
      <c r="E808" s="1184"/>
      <c r="F808" s="1184"/>
      <c r="G808" s="1184"/>
      <c r="H808" s="1184"/>
      <c r="I808" s="66"/>
      <c r="J808" s="66"/>
      <c r="K808" s="66"/>
      <c r="L808" s="67"/>
      <c r="M808" s="1182"/>
      <c r="N808" s="1182"/>
      <c r="O808" s="1182"/>
      <c r="P808" s="1182"/>
      <c r="Q808" s="1182"/>
      <c r="R808" s="1182"/>
      <c r="S808" s="1182"/>
      <c r="T808" s="1182"/>
      <c r="U808" s="1182"/>
      <c r="V808" s="1182"/>
      <c r="W808" s="1182"/>
      <c r="X808" s="1182"/>
      <c r="Y808" s="1182"/>
      <c r="Z808" s="1182"/>
      <c r="AA808" s="1182"/>
      <c r="AB808" s="1182"/>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1"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57" t="s">
        <v>124</v>
      </c>
      <c r="G810" s="1159"/>
      <c r="H810" s="1159"/>
      <c r="I810" s="1159"/>
      <c r="J810" s="1159"/>
      <c r="K810" s="1159"/>
      <c r="L810" s="1159"/>
      <c r="M810" s="1182"/>
      <c r="N810" s="1182"/>
      <c r="O810" s="1182"/>
      <c r="P810" s="1182"/>
      <c r="Q810" s="1182"/>
      <c r="R810" s="1182"/>
      <c r="S810" s="1182"/>
      <c r="T810" s="1182"/>
      <c r="U810" s="1182"/>
      <c r="V810" s="1182"/>
      <c r="W810" s="1182"/>
      <c r="X810" s="1182"/>
      <c r="Y810" s="1182"/>
      <c r="Z810" s="1182"/>
      <c r="AA810" s="1182"/>
      <c r="AB810" s="1182"/>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3" t="s">
        <v>876</v>
      </c>
      <c r="D811" s="1104"/>
      <c r="E811" s="1104"/>
      <c r="F811" s="1104"/>
      <c r="G811" s="1104"/>
      <c r="H811" s="1104"/>
      <c r="I811" s="1104"/>
      <c r="J811" s="1104"/>
      <c r="K811" s="1104"/>
      <c r="L811" s="1106"/>
      <c r="M811" s="1297">
        <f>SUM(M804:P810)</f>
        <v>0</v>
      </c>
      <c r="N811" s="1297"/>
      <c r="O811" s="1297"/>
      <c r="P811" s="1297"/>
      <c r="Q811" s="1297">
        <f>SUM(Q804:T810)</f>
        <v>0</v>
      </c>
      <c r="R811" s="1297"/>
      <c r="S811" s="1297"/>
      <c r="T811" s="1297"/>
      <c r="U811" s="1297">
        <f>SUM(U804:X810)</f>
        <v>0</v>
      </c>
      <c r="V811" s="1297"/>
      <c r="W811" s="1297"/>
      <c r="X811" s="1297"/>
      <c r="Y811" s="1297">
        <f>SUM(Y804:AB810)</f>
        <v>0</v>
      </c>
      <c r="Z811" s="1297"/>
      <c r="AA811" s="1297"/>
      <c r="AB811" s="1297"/>
      <c r="AC811" s="1297">
        <f>SUM(AC804:AF810)</f>
        <v>0</v>
      </c>
      <c r="AD811" s="1297"/>
      <c r="AE811" s="1297"/>
      <c r="AF811" s="1297"/>
      <c r="AG811" s="1297">
        <f>SUM(AG804:AJ810)</f>
        <v>0</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7" t="s">
        <v>2443</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0">
        <v>206</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0">
        <v>1516</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0">
        <v>3262</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0"/>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8" t="s">
        <v>562</v>
      </c>
      <c r="N825" s="1159"/>
      <c r="O825" s="1159"/>
      <c r="P825" s="1159"/>
      <c r="Q825" s="1159"/>
      <c r="R825" s="1159"/>
      <c r="S825" s="1159"/>
      <c r="T825" s="1159"/>
      <c r="U825" s="1159"/>
      <c r="V825" s="1160"/>
      <c r="W825" s="1220"/>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Santa Cruz</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8">
        <f>SUM(W821:AC825)</f>
        <v>4984</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7">
        <v>25830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9">
        <v>8148</v>
      </c>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9"/>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9">
        <f>3614+2461+522+4996</f>
        <v>11593</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9">
        <v>24874</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44615</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6">
        <v>17197</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21"/>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6"/>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21"/>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8" t="s">
        <v>562</v>
      </c>
      <c r="N840" s="1159"/>
      <c r="O840" s="1159"/>
      <c r="P840" s="1159"/>
      <c r="Q840" s="1159"/>
      <c r="R840" s="1159"/>
      <c r="S840" s="1159"/>
      <c r="T840" s="1159"/>
      <c r="U840" s="1159"/>
      <c r="V840" s="1160"/>
      <c r="W840" s="1516"/>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6">
        <f>SUM(W836:AC840)</f>
        <v>17197</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6">
        <v>4996</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20"/>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20">
        <f>18773-11421</f>
        <v>7352</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20">
        <v>10902</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20"/>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20">
        <f>121275-115876</f>
        <v>5399</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20"/>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8" t="s">
        <v>562</v>
      </c>
      <c r="N850" s="1159"/>
      <c r="O850" s="1159"/>
      <c r="P850" s="1159"/>
      <c r="Q850" s="1159"/>
      <c r="R850" s="1159"/>
      <c r="S850" s="1159"/>
      <c r="T850" s="1159"/>
      <c r="U850" s="1159"/>
      <c r="V850" s="1160"/>
      <c r="W850" s="1220"/>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1">
        <f>SUM(W844:AC850)</f>
        <v>23653</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8" t="s">
        <v>562</v>
      </c>
      <c r="N853" s="1159"/>
      <c r="O853" s="1159"/>
      <c r="P853" s="1159"/>
      <c r="Q853" s="1159"/>
      <c r="R853" s="1159"/>
      <c r="S853" s="1159"/>
      <c r="T853" s="1159"/>
      <c r="U853" s="1159"/>
      <c r="V853" s="1160"/>
      <c r="W853" s="1217"/>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8" t="s">
        <v>562</v>
      </c>
      <c r="N854" s="1159"/>
      <c r="O854" s="1159"/>
      <c r="P854" s="1159"/>
      <c r="Q854" s="1159"/>
      <c r="R854" s="1159"/>
      <c r="S854" s="1159"/>
      <c r="T854" s="1159"/>
      <c r="U854" s="1159"/>
      <c r="V854" s="1160"/>
      <c r="W854" s="1217"/>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8">
        <f>SUM(W853:AC857)</f>
        <v>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121275</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7">
        <f>O776+O756+G730</f>
        <v>21</v>
      </c>
      <c r="AD863" s="1538"/>
      <c r="AE863" s="1538"/>
      <c r="AF863" s="1538"/>
      <c r="AG863" s="1538"/>
      <c r="AH863" s="1539"/>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8" t="s">
        <v>346</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19">
        <f>IF(ISERROR((ROUNDDOWN(AC862/AC863,0))),0,(ROUNDDOWN(AC862/AC863,0)))</f>
        <v>5775</v>
      </c>
      <c r="AD864" s="1520"/>
      <c r="AE864" s="1520"/>
      <c r="AF864" s="1520"/>
      <c r="AG864" s="1520"/>
      <c r="AH864" s="1520"/>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f>+'Sources and Uses Budget'!C74</f>
        <v>100158</v>
      </c>
      <c r="AD865" s="1531"/>
      <c r="AE865" s="1531"/>
      <c r="AF865" s="1531"/>
      <c r="AG865" s="1531"/>
      <c r="AH865" s="153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74991</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5250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7"/>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0"/>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6" t="s">
        <v>1209</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6" t="s">
        <v>1209</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2" t="s">
        <v>961</v>
      </c>
      <c r="G892" s="1223"/>
      <c r="H892" s="1223"/>
      <c r="I892" s="1223"/>
      <c r="J892" s="1223"/>
      <c r="K892" s="1223"/>
      <c r="L892" s="1223"/>
      <c r="M892" s="1223"/>
      <c r="N892" s="1223"/>
      <c r="O892" s="1223"/>
      <c r="P892" s="1223"/>
      <c r="Q892" s="1223"/>
      <c r="R892" s="1223"/>
      <c r="S892" s="1223"/>
      <c r="T892" s="1224"/>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9" t="s">
        <v>1039</v>
      </c>
      <c r="G893" s="1170"/>
      <c r="H893" s="1170"/>
      <c r="I893" s="1170"/>
      <c r="J893" s="1170"/>
      <c r="K893" s="1170"/>
      <c r="L893" s="1170"/>
      <c r="M893" s="1170"/>
      <c r="N893" s="1170"/>
      <c r="O893" s="1170"/>
      <c r="P893" s="1170"/>
      <c r="Q893" s="1170"/>
      <c r="R893" s="1170"/>
      <c r="S893" s="1170"/>
      <c r="T893" s="1215"/>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1"/>
      <c r="G894" s="1172"/>
      <c r="H894" s="1172"/>
      <c r="I894" s="1172"/>
      <c r="J894" s="1172"/>
      <c r="K894" s="1172"/>
      <c r="L894" s="1172"/>
      <c r="M894" s="1172"/>
      <c r="N894" s="1172"/>
      <c r="O894" s="1172"/>
      <c r="P894" s="1172"/>
      <c r="Q894" s="1172"/>
      <c r="R894" s="1172"/>
      <c r="S894" s="1172"/>
      <c r="T894" s="1216"/>
      <c r="U894" s="1171"/>
      <c r="V894" s="1172"/>
      <c r="W894" s="1172"/>
      <c r="X894" s="1172"/>
      <c r="Y894" s="1172"/>
      <c r="Z894" s="1172"/>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4" t="s">
        <v>158</v>
      </c>
      <c r="G895" s="1315"/>
      <c r="H895" s="1315"/>
      <c r="I895" s="1315"/>
      <c r="J895" s="1315"/>
      <c r="K895" s="1315"/>
      <c r="L895" s="1315"/>
      <c r="M895" s="1315"/>
      <c r="N895" s="1315"/>
      <c r="O895" s="1315"/>
      <c r="P895" s="1315"/>
      <c r="Q895" s="1315"/>
      <c r="R895" s="1315"/>
      <c r="S895" s="1315"/>
      <c r="T895" s="1316"/>
      <c r="U895" s="1214" t="s">
        <v>124</v>
      </c>
      <c r="V895" s="1143"/>
      <c r="W895" s="1143"/>
      <c r="X895" s="1143"/>
      <c r="Y895" s="1143"/>
      <c r="Z895" s="1144"/>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4" t="s">
        <v>160</v>
      </c>
      <c r="G896" s="1315"/>
      <c r="H896" s="1315"/>
      <c r="I896" s="1315"/>
      <c r="J896" s="1315"/>
      <c r="K896" s="1315"/>
      <c r="L896" s="1315"/>
      <c r="M896" s="1315"/>
      <c r="N896" s="1315"/>
      <c r="O896" s="1315"/>
      <c r="P896" s="1315"/>
      <c r="Q896" s="1315"/>
      <c r="R896" s="1315"/>
      <c r="S896" s="1315"/>
      <c r="T896" s="1316"/>
      <c r="U896" s="1214" t="s">
        <v>124</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1" t="s">
        <v>946</v>
      </c>
      <c r="G897" s="1542"/>
      <c r="H897" s="1542"/>
      <c r="I897" s="1542"/>
      <c r="J897" s="1542"/>
      <c r="K897" s="1542"/>
      <c r="L897" s="1542"/>
      <c r="M897" s="1542"/>
      <c r="N897" s="1542"/>
      <c r="O897" s="1542"/>
      <c r="P897" s="1542"/>
      <c r="Q897" s="1542"/>
      <c r="R897" s="1542"/>
      <c r="S897" s="1542"/>
      <c r="T897" s="1543"/>
      <c r="U897" s="1214" t="s">
        <v>124</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1" t="s">
        <v>947</v>
      </c>
      <c r="G898" s="1542"/>
      <c r="H898" s="1542"/>
      <c r="I898" s="1542"/>
      <c r="J898" s="1542"/>
      <c r="K898" s="1542"/>
      <c r="L898" s="1542"/>
      <c r="M898" s="1542"/>
      <c r="N898" s="1542"/>
      <c r="O898" s="1542"/>
      <c r="P898" s="1542"/>
      <c r="Q898" s="1542"/>
      <c r="R898" s="1542"/>
      <c r="S898" s="1542"/>
      <c r="T898" s="1543"/>
      <c r="U898" s="1214" t="s">
        <v>124</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1" t="s">
        <v>948</v>
      </c>
      <c r="G899" s="1542"/>
      <c r="H899" s="1542"/>
      <c r="I899" s="1542"/>
      <c r="J899" s="1542"/>
      <c r="K899" s="1542"/>
      <c r="L899" s="1542"/>
      <c r="M899" s="1542"/>
      <c r="N899" s="1542"/>
      <c r="O899" s="1542"/>
      <c r="P899" s="1542"/>
      <c r="Q899" s="1542"/>
      <c r="R899" s="1542"/>
      <c r="S899" s="1542"/>
      <c r="T899" s="1543"/>
      <c r="U899" s="1214" t="s">
        <v>124</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4" t="s">
        <v>159</v>
      </c>
      <c r="G900" s="1315"/>
      <c r="H900" s="1315"/>
      <c r="I900" s="1315"/>
      <c r="J900" s="1315"/>
      <c r="K900" s="1315"/>
      <c r="L900" s="1315"/>
      <c r="M900" s="1315"/>
      <c r="N900" s="1315"/>
      <c r="O900" s="1315"/>
      <c r="P900" s="1315"/>
      <c r="Q900" s="1315"/>
      <c r="R900" s="1315"/>
      <c r="S900" s="1315"/>
      <c r="T900" s="1316"/>
      <c r="U900" s="1214" t="s">
        <v>124</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4" t="s">
        <v>2285</v>
      </c>
      <c r="G901" s="1315"/>
      <c r="H901" s="1315"/>
      <c r="I901" s="1315"/>
      <c r="J901" s="1315"/>
      <c r="K901" s="1315"/>
      <c r="L901" s="1315"/>
      <c r="M901" s="1315"/>
      <c r="N901" s="1315"/>
      <c r="O901" s="1315"/>
      <c r="P901" s="1315"/>
      <c r="Q901" s="1315"/>
      <c r="R901" s="1315"/>
      <c r="S901" s="1315"/>
      <c r="T901" s="1316"/>
      <c r="U901" s="1214" t="s">
        <v>124</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4" t="s">
        <v>161</v>
      </c>
      <c r="G902" s="1315"/>
      <c r="H902" s="1315"/>
      <c r="I902" s="1315"/>
      <c r="J902" s="1315"/>
      <c r="K902" s="1315"/>
      <c r="L902" s="1315"/>
      <c r="M902" s="1315"/>
      <c r="N902" s="1315"/>
      <c r="O902" s="1315"/>
      <c r="P902" s="1315"/>
      <c r="Q902" s="1315"/>
      <c r="R902" s="1315"/>
      <c r="S902" s="1315"/>
      <c r="T902" s="1316"/>
      <c r="U902" s="1214" t="s">
        <v>124</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4" t="s">
        <v>2282</v>
      </c>
      <c r="G903" s="1315"/>
      <c r="H903" s="1315"/>
      <c r="I903" s="1315"/>
      <c r="J903" s="1315"/>
      <c r="K903" s="1315"/>
      <c r="L903" s="1315"/>
      <c r="M903" s="1315"/>
      <c r="N903" s="1315"/>
      <c r="O903" s="1315"/>
      <c r="P903" s="1315"/>
      <c r="Q903" s="1315"/>
      <c r="R903" s="1315"/>
      <c r="S903" s="1315"/>
      <c r="T903" s="1316"/>
      <c r="U903" s="1214" t="s">
        <v>124</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4" t="s">
        <v>2283</v>
      </c>
      <c r="G904" s="1315"/>
      <c r="H904" s="1315"/>
      <c r="I904" s="1315"/>
      <c r="J904" s="1315"/>
      <c r="K904" s="1315"/>
      <c r="L904" s="1315"/>
      <c r="M904" s="1315"/>
      <c r="N904" s="1315"/>
      <c r="O904" s="1315"/>
      <c r="P904" s="1315"/>
      <c r="Q904" s="1315"/>
      <c r="R904" s="1315"/>
      <c r="S904" s="1315"/>
      <c r="T904" s="1316"/>
      <c r="U904" s="1214" t="s">
        <v>124</v>
      </c>
      <c r="V904" s="1143"/>
      <c r="W904" s="1143"/>
      <c r="X904" s="1143"/>
      <c r="Y904" s="1143"/>
      <c r="Z904" s="1144"/>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4" t="s">
        <v>2284</v>
      </c>
      <c r="G905" s="1315"/>
      <c r="H905" s="1315"/>
      <c r="I905" s="1315"/>
      <c r="J905" s="1315"/>
      <c r="K905" s="1315"/>
      <c r="L905" s="1315"/>
      <c r="M905" s="1315"/>
      <c r="N905" s="1315"/>
      <c r="O905" s="1315"/>
      <c r="P905" s="1315"/>
      <c r="Q905" s="1315"/>
      <c r="R905" s="1315"/>
      <c r="S905" s="1315"/>
      <c r="T905" s="1316"/>
      <c r="U905" s="1214" t="s">
        <v>124</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4" t="s">
        <v>2278</v>
      </c>
      <c r="G906" s="1315"/>
      <c r="H906" s="1315"/>
      <c r="I906" s="1315"/>
      <c r="J906" s="1315"/>
      <c r="K906" s="1315"/>
      <c r="L906" s="1315"/>
      <c r="M906" s="1315"/>
      <c r="N906" s="1315"/>
      <c r="O906" s="1315"/>
      <c r="P906" s="1315"/>
      <c r="Q906" s="1315"/>
      <c r="R906" s="1315"/>
      <c r="S906" s="1315"/>
      <c r="T906" s="1316"/>
      <c r="U906" s="1214" t="s">
        <v>124</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4" t="s">
        <v>2275</v>
      </c>
      <c r="G907" s="1315"/>
      <c r="H907" s="1315"/>
      <c r="I907" s="1315"/>
      <c r="J907" s="1315"/>
      <c r="K907" s="1315"/>
      <c r="L907" s="1315"/>
      <c r="M907" s="1315"/>
      <c r="N907" s="1315"/>
      <c r="O907" s="1315"/>
      <c r="P907" s="1315"/>
      <c r="Q907" s="1315"/>
      <c r="R907" s="1315"/>
      <c r="S907" s="1315"/>
      <c r="T907" s="1316"/>
      <c r="U907" s="1214" t="s">
        <v>124</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8" t="s">
        <v>157</v>
      </c>
      <c r="G908" s="1579"/>
      <c r="H908" s="1579"/>
      <c r="I908" s="1579"/>
      <c r="J908" s="1579"/>
      <c r="K908" s="1579"/>
      <c r="L908" s="1579"/>
      <c r="M908" s="1579"/>
      <c r="N908" s="1579"/>
      <c r="O908" s="1579"/>
      <c r="P908" s="1579"/>
      <c r="Q908" s="1579"/>
      <c r="R908" s="1579"/>
      <c r="S908" s="1579"/>
      <c r="T908" s="1580"/>
      <c r="U908" s="1214" t="s">
        <v>124</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4" t="s">
        <v>1904</v>
      </c>
      <c r="G909" s="1315"/>
      <c r="H909" s="1315"/>
      <c r="I909" s="1315"/>
      <c r="J909" s="1315"/>
      <c r="K909" s="1315"/>
      <c r="L909" s="1315"/>
      <c r="M909" s="1315"/>
      <c r="N909" s="1315"/>
      <c r="O909" s="1315"/>
      <c r="P909" s="1315"/>
      <c r="Q909" s="1315"/>
      <c r="R909" s="1315"/>
      <c r="S909" s="1315"/>
      <c r="T909" s="1316"/>
      <c r="U909" s="1214" t="s">
        <v>124</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1" t="s">
        <v>1008</v>
      </c>
      <c r="G910" s="1542"/>
      <c r="H910" s="1542"/>
      <c r="I910" s="1542"/>
      <c r="J910" s="1542"/>
      <c r="K910" s="1542"/>
      <c r="L910" s="1542"/>
      <c r="M910" s="1542"/>
      <c r="N910" s="1542"/>
      <c r="O910" s="1542"/>
      <c r="P910" s="1542"/>
      <c r="Q910" s="1542"/>
      <c r="R910" s="1542"/>
      <c r="S910" s="1542"/>
      <c r="T910" s="1543"/>
      <c r="U910" s="1214" t="s">
        <v>124</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6" t="s">
        <v>2286</v>
      </c>
      <c r="G911" s="1567"/>
      <c r="H911" s="1567"/>
      <c r="I911" s="1567"/>
      <c r="J911" s="1567"/>
      <c r="K911" s="1567"/>
      <c r="L911" s="1567"/>
      <c r="M911" s="1567"/>
      <c r="N911" s="1567"/>
      <c r="O911" s="1567"/>
      <c r="P911" s="1567"/>
      <c r="Q911" s="1567"/>
      <c r="R911" s="1567"/>
      <c r="S911" s="1567"/>
      <c r="T911" s="1568"/>
      <c r="U911" s="1214" t="s">
        <v>124</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6" t="s">
        <v>2288</v>
      </c>
      <c r="G912" s="1567"/>
      <c r="H912" s="1567"/>
      <c r="I912" s="1567"/>
      <c r="J912" s="1567"/>
      <c r="K912" s="1567"/>
      <c r="L912" s="1567"/>
      <c r="M912" s="1567"/>
      <c r="N912" s="1567"/>
      <c r="O912" s="1567"/>
      <c r="P912" s="1567"/>
      <c r="Q912" s="1567"/>
      <c r="R912" s="1567"/>
      <c r="S912" s="1567"/>
      <c r="T912" s="1568"/>
      <c r="U912" s="1214" t="s">
        <v>124</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4" t="s">
        <v>2276</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4" t="s">
        <v>2280</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4" t="s">
        <v>2277</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6" t="s">
        <v>1902</v>
      </c>
      <c r="G916" s="1567"/>
      <c r="H916" s="1567"/>
      <c r="I916" s="1567"/>
      <c r="J916" s="1567"/>
      <c r="K916" s="1567"/>
      <c r="L916" s="1567"/>
      <c r="M916" s="1567"/>
      <c r="N916" s="1567"/>
      <c r="O916" s="1567"/>
      <c r="P916" s="1567"/>
      <c r="Q916" s="1567"/>
      <c r="R916" s="1567"/>
      <c r="S916" s="1567"/>
      <c r="T916" s="1568"/>
      <c r="U916" s="1214" t="s">
        <v>124</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6" t="s">
        <v>2289</v>
      </c>
      <c r="G917" s="1567"/>
      <c r="H917" s="1567"/>
      <c r="I917" s="1567"/>
      <c r="J917" s="1567"/>
      <c r="K917" s="1567"/>
      <c r="L917" s="1567"/>
      <c r="M917" s="1567"/>
      <c r="N917" s="1567"/>
      <c r="O917" s="1567"/>
      <c r="P917" s="1567"/>
      <c r="Q917" s="1567"/>
      <c r="R917" s="1567"/>
      <c r="S917" s="1567"/>
      <c r="T917" s="1568"/>
      <c r="U917" s="1214" t="s">
        <v>124</v>
      </c>
      <c r="V917" s="1143"/>
      <c r="W917" s="1143"/>
      <c r="X917" s="1143"/>
      <c r="Y917" s="1143"/>
      <c r="Z917" s="1144"/>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6" t="s">
        <v>1903</v>
      </c>
      <c r="G918" s="1567"/>
      <c r="H918" s="1567"/>
      <c r="I918" s="1567"/>
      <c r="J918" s="1567"/>
      <c r="K918" s="1567"/>
      <c r="L918" s="1567"/>
      <c r="M918" s="1567"/>
      <c r="N918" s="1567"/>
      <c r="O918" s="1567"/>
      <c r="P918" s="1567"/>
      <c r="Q918" s="1567"/>
      <c r="R918" s="1567"/>
      <c r="S918" s="1567"/>
      <c r="T918" s="1568"/>
      <c r="U918" s="1214" t="s">
        <v>124</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6" t="s">
        <v>156</v>
      </c>
      <c r="G919" s="1567"/>
      <c r="H919" s="1567"/>
      <c r="I919" s="1567"/>
      <c r="J919" s="1567"/>
      <c r="K919" s="1567"/>
      <c r="L919" s="1567"/>
      <c r="M919" s="1567"/>
      <c r="N919" s="1567"/>
      <c r="O919" s="1567"/>
      <c r="P919" s="1567"/>
      <c r="Q919" s="1567"/>
      <c r="R919" s="1567"/>
      <c r="S919" s="1567"/>
      <c r="T919" s="1568"/>
      <c r="U919" s="1214" t="s">
        <v>124</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6" t="s">
        <v>2287</v>
      </c>
      <c r="G920" s="1567"/>
      <c r="H920" s="1567"/>
      <c r="I920" s="1567"/>
      <c r="J920" s="1567"/>
      <c r="K920" s="1567"/>
      <c r="L920" s="1567"/>
      <c r="M920" s="1567"/>
      <c r="N920" s="1567"/>
      <c r="O920" s="1567"/>
      <c r="P920" s="1567"/>
      <c r="Q920" s="1567"/>
      <c r="R920" s="1567"/>
      <c r="S920" s="1567"/>
      <c r="T920" s="1568"/>
      <c r="U920" s="1214" t="s">
        <v>124</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0" t="s">
        <v>482</v>
      </c>
      <c r="Q921" s="1143"/>
      <c r="R921" s="1143"/>
      <c r="S921" s="1143"/>
      <c r="T921" s="1144"/>
      <c r="U921" s="1214" t="s">
        <v>124</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4" t="s">
        <v>2279</v>
      </c>
      <c r="G922" s="1315"/>
      <c r="H922" s="1316"/>
      <c r="I922" s="1257" t="s">
        <v>562</v>
      </c>
      <c r="J922" s="1258"/>
      <c r="K922" s="1258"/>
      <c r="L922" s="1258"/>
      <c r="M922" s="1258"/>
      <c r="N922" s="1258"/>
      <c r="O922" s="1258"/>
      <c r="P922" s="1258"/>
      <c r="Q922" s="1258"/>
      <c r="R922" s="1258"/>
      <c r="S922" s="1258"/>
      <c r="T922" s="1259"/>
      <c r="U922" s="1214" t="s">
        <v>124</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4" t="s">
        <v>373</v>
      </c>
      <c r="G923" s="1315"/>
      <c r="H923" s="1316"/>
      <c r="I923" s="1257" t="s">
        <v>2444</v>
      </c>
      <c r="J923" s="1258"/>
      <c r="K923" s="1258"/>
      <c r="L923" s="1258"/>
      <c r="M923" s="1258"/>
      <c r="N923" s="1258"/>
      <c r="O923" s="1258"/>
      <c r="P923" s="1258"/>
      <c r="Q923" s="1258"/>
      <c r="R923" s="1258"/>
      <c r="S923" s="1258"/>
      <c r="T923" s="1259"/>
      <c r="U923" s="1214" t="s">
        <v>108</v>
      </c>
      <c r="V923" s="1143"/>
      <c r="W923" s="1143"/>
      <c r="X923" s="1143"/>
      <c r="Y923" s="1143"/>
      <c r="Z923" s="1144"/>
      <c r="AA923" s="1173">
        <f>+AO622</f>
        <v>6425000</v>
      </c>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4" t="s">
        <v>826</v>
      </c>
      <c r="G924" s="1315"/>
      <c r="H924" s="1316"/>
      <c r="I924" s="1257" t="s">
        <v>562</v>
      </c>
      <c r="J924" s="1258"/>
      <c r="K924" s="1258"/>
      <c r="L924" s="1258"/>
      <c r="M924" s="1258"/>
      <c r="N924" s="1258"/>
      <c r="O924" s="1258"/>
      <c r="P924" s="1258"/>
      <c r="Q924" s="1258"/>
      <c r="R924" s="1258"/>
      <c r="S924" s="1258"/>
      <c r="T924" s="1259"/>
      <c r="U924" s="1214" t="s">
        <v>124</v>
      </c>
      <c r="V924" s="1143"/>
      <c r="W924" s="1143"/>
      <c r="X924" s="1143"/>
      <c r="Y924" s="1143"/>
      <c r="Z924" s="1144"/>
      <c r="AA924" s="1173"/>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4" t="s">
        <v>283</v>
      </c>
      <c r="G925" s="1315"/>
      <c r="H925" s="1316"/>
      <c r="I925" s="1257" t="s">
        <v>562</v>
      </c>
      <c r="J925" s="1258"/>
      <c r="K925" s="1258"/>
      <c r="L925" s="1258"/>
      <c r="M925" s="1258"/>
      <c r="N925" s="1258"/>
      <c r="O925" s="1258"/>
      <c r="P925" s="1258"/>
      <c r="Q925" s="1258"/>
      <c r="R925" s="1258"/>
      <c r="S925" s="1258"/>
      <c r="T925" s="1259"/>
      <c r="U925" s="1214" t="s">
        <v>124</v>
      </c>
      <c r="V925" s="1143"/>
      <c r="W925" s="1143"/>
      <c r="X925" s="1143"/>
      <c r="Y925" s="1143"/>
      <c r="Z925" s="1144"/>
      <c r="AA925" s="1173"/>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4" t="s">
        <v>283</v>
      </c>
      <c r="G926" s="1315"/>
      <c r="H926" s="1316"/>
      <c r="I926" s="1257" t="s">
        <v>562</v>
      </c>
      <c r="J926" s="1258"/>
      <c r="K926" s="1258"/>
      <c r="L926" s="1258"/>
      <c r="M926" s="1258"/>
      <c r="N926" s="1258"/>
      <c r="O926" s="1258"/>
      <c r="P926" s="1258"/>
      <c r="Q926" s="1258"/>
      <c r="R926" s="1258"/>
      <c r="S926" s="1258"/>
      <c r="T926" s="1259"/>
      <c r="U926" s="1214" t="s">
        <v>124</v>
      </c>
      <c r="V926" s="1143"/>
      <c r="W926" s="1143"/>
      <c r="X926" s="1143"/>
      <c r="Y926" s="1143"/>
      <c r="Z926" s="1144"/>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61">
        <v>45470</v>
      </c>
      <c r="M931" s="1354"/>
      <c r="N931" s="1354"/>
      <c r="O931" s="1354"/>
      <c r="P931" s="1354"/>
      <c r="Q931" s="1354"/>
      <c r="R931" s="1354"/>
      <c r="S931" s="1456"/>
      <c r="U931" s="72" t="s">
        <v>827</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5" t="s">
        <v>2445</v>
      </c>
      <c r="M932" s="1354"/>
      <c r="N932" s="1354"/>
      <c r="O932" s="1354"/>
      <c r="P932" s="1354"/>
      <c r="Q932" s="1354"/>
      <c r="R932" s="1354"/>
      <c r="S932" s="1456"/>
      <c r="U932" s="72" t="s">
        <v>828</v>
      </c>
      <c r="V932" s="9"/>
      <c r="W932" s="9"/>
      <c r="X932" s="9"/>
      <c r="Y932" s="9"/>
      <c r="Z932" s="9"/>
      <c r="AA932" s="9"/>
      <c r="AB932" s="9"/>
      <c r="AC932" s="9"/>
      <c r="AD932" s="52"/>
      <c r="AE932" s="1264"/>
      <c r="AF932" s="1148"/>
      <c r="AG932" s="1148"/>
      <c r="AH932" s="1148"/>
      <c r="AI932" s="1148"/>
      <c r="AJ932" s="1148"/>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1" t="s">
        <v>2446</v>
      </c>
      <c r="M933" s="1162"/>
      <c r="N933" s="1162"/>
      <c r="O933" s="1162"/>
      <c r="P933" s="1162"/>
      <c r="Q933" s="1162"/>
      <c r="R933" s="1162"/>
      <c r="S933" s="1163"/>
      <c r="U933" s="72" t="s">
        <v>1108</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6">
        <v>0.71</v>
      </c>
      <c r="M934" s="1197"/>
      <c r="N934" s="1197"/>
      <c r="O934" s="1197"/>
      <c r="P934" s="1197"/>
      <c r="Q934" s="1197"/>
      <c r="R934" s="1197"/>
      <c r="S934" s="1198"/>
      <c r="U934" s="72" t="s">
        <v>829</v>
      </c>
      <c r="V934" s="9"/>
      <c r="W934" s="9"/>
      <c r="X934" s="9"/>
      <c r="Y934" s="9"/>
      <c r="Z934" s="9"/>
      <c r="AA934" s="9"/>
      <c r="AB934" s="9"/>
      <c r="AC934" s="9"/>
      <c r="AD934" s="52"/>
      <c r="AE934" s="1260"/>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90">
        <v>15</v>
      </c>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7">
        <v>373128</v>
      </c>
      <c r="M936" s="1218"/>
      <c r="N936" s="1218"/>
      <c r="O936" s="1218"/>
      <c r="P936" s="1218"/>
      <c r="Q936" s="1218"/>
      <c r="R936" s="1218"/>
      <c r="S936" s="1219"/>
      <c r="U936" s="72" t="s">
        <v>831</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7">
        <f>+L936*20</f>
        <v>7462560</v>
      </c>
      <c r="M937" s="1218"/>
      <c r="N937" s="1218"/>
      <c r="O937" s="1218"/>
      <c r="P937" s="1218"/>
      <c r="Q937" s="1218"/>
      <c r="R937" s="1218"/>
      <c r="S937" s="1219"/>
      <c r="U937" s="72" t="s">
        <v>832</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90">
        <v>20</v>
      </c>
      <c r="M938" s="1191"/>
      <c r="N938" s="1191"/>
      <c r="O938" s="1191"/>
      <c r="P938" s="1191"/>
      <c r="Q938" s="1191"/>
      <c r="R938" s="1191"/>
      <c r="S938" s="1192"/>
      <c r="U938" s="214" t="s">
        <v>1971</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9"/>
      <c r="N943" s="1115"/>
      <c r="O943" s="1115"/>
      <c r="P943" s="1115"/>
      <c r="Q943" s="1115"/>
      <c r="R943" s="1115"/>
      <c r="S943" s="1180"/>
      <c r="T943" s="72" t="s">
        <v>950</v>
      </c>
      <c r="U943" s="9"/>
      <c r="V943" s="9"/>
      <c r="W943" s="9"/>
      <c r="X943" s="9"/>
      <c r="Y943" s="9"/>
      <c r="Z943" s="52"/>
      <c r="AA943" s="1179"/>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9"/>
      <c r="N944" s="1115"/>
      <c r="O944" s="1115"/>
      <c r="P944" s="1115"/>
      <c r="Q944" s="1115"/>
      <c r="R944" s="1115"/>
      <c r="S944" s="1180"/>
      <c r="T944" s="72" t="s">
        <v>949</v>
      </c>
      <c r="U944" s="9"/>
      <c r="V944" s="9"/>
      <c r="W944" s="9"/>
      <c r="X944" s="9"/>
      <c r="Y944" s="9"/>
      <c r="Z944" s="52"/>
      <c r="AA944" s="1179"/>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81" t="s">
        <v>124</v>
      </c>
      <c r="N945" s="1054"/>
      <c r="O945" s="1054"/>
      <c r="P945" s="1054"/>
      <c r="Q945" s="1054"/>
      <c r="R945" s="1054"/>
      <c r="S945" s="1128"/>
      <c r="T945" s="8" t="s">
        <v>566</v>
      </c>
      <c r="U945" s="9"/>
      <c r="V945" s="9"/>
      <c r="W945" s="9"/>
      <c r="X945" s="9"/>
      <c r="Y945" s="9"/>
      <c r="Z945" s="52"/>
      <c r="AA945" s="1179"/>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9"/>
      <c r="N946" s="1115"/>
      <c r="O946" s="1115"/>
      <c r="P946" s="1115"/>
      <c r="Q946" s="1115"/>
      <c r="R946" s="1115"/>
      <c r="S946" s="1180"/>
      <c r="T946" s="8" t="s">
        <v>567</v>
      </c>
      <c r="U946" s="9"/>
      <c r="V946" s="9"/>
      <c r="W946" s="9"/>
      <c r="X946" s="9"/>
      <c r="Y946" s="9"/>
      <c r="Z946" s="52"/>
      <c r="AA946" s="1179"/>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9"/>
      <c r="N947" s="1115"/>
      <c r="O947" s="1115"/>
      <c r="P947" s="1115"/>
      <c r="Q947" s="1115"/>
      <c r="R947" s="1115"/>
      <c r="S947" s="1180"/>
      <c r="T947" s="8" t="s">
        <v>493</v>
      </c>
      <c r="U947" s="9"/>
      <c r="V947" s="9"/>
      <c r="W947" s="9"/>
      <c r="X947" s="9"/>
      <c r="Y947" s="9"/>
      <c r="Z947" s="52"/>
      <c r="AA947" s="1179"/>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1" t="s">
        <v>79</v>
      </c>
      <c r="N948" s="1162"/>
      <c r="O948" s="1162"/>
      <c r="P948" s="1162"/>
      <c r="Q948" s="1162"/>
      <c r="R948" s="1162"/>
      <c r="S948" s="1163"/>
      <c r="T948" s="1394"/>
      <c r="U948" s="1395"/>
      <c r="V948" s="1395"/>
      <c r="W948" s="1395"/>
      <c r="X948" s="1395"/>
      <c r="Y948" s="1395"/>
      <c r="Z948" s="1396"/>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9"/>
      <c r="N949" s="1115"/>
      <c r="O949" s="1115"/>
      <c r="P949" s="1115"/>
      <c r="Q949" s="1115"/>
      <c r="R949" s="1115"/>
      <c r="S949" s="1180"/>
      <c r="T949" s="1394"/>
      <c r="U949" s="1395"/>
      <c r="V949" s="1395"/>
      <c r="W949" s="1395"/>
      <c r="X949" s="1395"/>
      <c r="Y949" s="1395"/>
      <c r="Z949" s="1396"/>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81" t="s">
        <v>482</v>
      </c>
      <c r="P950" s="1128"/>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5" t="s">
        <v>226</v>
      </c>
      <c r="G951" s="1186"/>
      <c r="H951" s="1186"/>
      <c r="I951" s="1186"/>
      <c r="J951" s="1186"/>
      <c r="K951" s="1186"/>
      <c r="L951" s="1186"/>
      <c r="M951" s="1179"/>
      <c r="N951" s="1115"/>
      <c r="O951" s="1115"/>
      <c r="P951" s="1115"/>
      <c r="Q951" s="1115"/>
      <c r="R951" s="1115"/>
      <c r="S951" s="1180"/>
      <c r="T951" s="53"/>
      <c r="U951" s="54"/>
      <c r="V951" s="54"/>
      <c r="W951" s="54"/>
      <c r="X951" s="54"/>
      <c r="Y951" s="54"/>
      <c r="Z951" s="226" t="s">
        <v>227</v>
      </c>
      <c r="AA951" s="1392"/>
      <c r="AB951" s="1321"/>
      <c r="AC951" s="1321"/>
      <c r="AD951" s="1321"/>
      <c r="AE951" s="1321"/>
      <c r="AF951" s="1321"/>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387110</v>
      </c>
      <c r="S961" s="1256"/>
      <c r="T961" s="1256"/>
      <c r="U961" s="1256"/>
      <c r="V961" s="1256"/>
      <c r="W961" s="1256"/>
      <c r="X961" s="1256"/>
      <c r="Y961" s="1256"/>
      <c r="Z961" s="1256"/>
      <c r="AA961" s="1256"/>
      <c r="AB961" s="1375">
        <f>BN651</f>
        <v>9</v>
      </c>
      <c r="AC961" s="1376"/>
      <c r="AD961" s="1376"/>
      <c r="AE961" s="1376"/>
      <c r="AF961" s="1376"/>
      <c r="AG961" s="1376"/>
      <c r="AH961" s="1376"/>
      <c r="AI961" s="1377"/>
      <c r="AJ961" s="1231">
        <f>IF(ISERROR((R961*AB961)),0,(R961*AB961))</f>
        <v>3483990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446334</v>
      </c>
      <c r="S962" s="1256"/>
      <c r="T962" s="1256"/>
      <c r="U962" s="1256"/>
      <c r="V962" s="1256"/>
      <c r="W962" s="1256"/>
      <c r="X962" s="1256"/>
      <c r="Y962" s="1256"/>
      <c r="Z962" s="1256"/>
      <c r="AA962" s="1256"/>
      <c r="AB962" s="1375">
        <f>BS651</f>
        <v>10</v>
      </c>
      <c r="AC962" s="1376"/>
      <c r="AD962" s="1376"/>
      <c r="AE962" s="1376"/>
      <c r="AF962" s="1376"/>
      <c r="AG962" s="1376"/>
      <c r="AH962" s="1376"/>
      <c r="AI962" s="1377"/>
      <c r="AJ962" s="1231">
        <f>IF(ISERROR((R962*AB962)),0,(R962*AB962))</f>
        <v>4463340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538400</v>
      </c>
      <c r="S963" s="1256"/>
      <c r="T963" s="1256"/>
      <c r="U963" s="1256"/>
      <c r="V963" s="1256"/>
      <c r="W963" s="1256"/>
      <c r="X963" s="1256"/>
      <c r="Y963" s="1256"/>
      <c r="Z963" s="1256"/>
      <c r="AA963" s="1256"/>
      <c r="AB963" s="1375">
        <f>BX651</f>
        <v>1</v>
      </c>
      <c r="AC963" s="1376"/>
      <c r="AD963" s="1376"/>
      <c r="AE963" s="1376"/>
      <c r="AF963" s="1376"/>
      <c r="AG963" s="1376"/>
      <c r="AH963" s="1376"/>
      <c r="AI963" s="1377"/>
      <c r="AJ963" s="1231">
        <f>IF(ISERROR((R963*AB963)),0,(R963*AB963))</f>
        <v>538400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689152</v>
      </c>
      <c r="S964" s="1256"/>
      <c r="T964" s="1256"/>
      <c r="U964" s="1256"/>
      <c r="V964" s="1256"/>
      <c r="W964" s="1256"/>
      <c r="X964" s="1256"/>
      <c r="Y964" s="1256"/>
      <c r="Z964" s="1256"/>
      <c r="AA964" s="1256"/>
      <c r="AB964" s="1375">
        <f>CC651</f>
        <v>0</v>
      </c>
      <c r="AC964" s="1376"/>
      <c r="AD964" s="1376"/>
      <c r="AE964" s="1376"/>
      <c r="AF964" s="1376"/>
      <c r="AG964" s="1376"/>
      <c r="AH964" s="1376"/>
      <c r="AI964" s="1377"/>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767758</v>
      </c>
      <c r="S965" s="1256"/>
      <c r="T965" s="1256"/>
      <c r="U965" s="1256"/>
      <c r="V965" s="1256"/>
      <c r="W965" s="1256"/>
      <c r="X965" s="1256"/>
      <c r="Y965" s="1256"/>
      <c r="Z965" s="1256"/>
      <c r="AA965" s="1256"/>
      <c r="AB965" s="1375">
        <f>CM651+CH651</f>
        <v>1</v>
      </c>
      <c r="AC965" s="1376"/>
      <c r="AD965" s="1376"/>
      <c r="AE965" s="1376"/>
      <c r="AF965" s="1376"/>
      <c r="AG965" s="1376"/>
      <c r="AH965" s="1376"/>
      <c r="AI965" s="1377"/>
      <c r="AJ965" s="1231">
        <f>IF(ISERROR((R965*AB965)),0,(R965*AB965))</f>
        <v>767758</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3" t="s">
        <v>960</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5">
        <f>SUM(AB961:AI965)</f>
        <v>21</v>
      </c>
      <c r="AC966" s="1376"/>
      <c r="AD966" s="1376"/>
      <c r="AE966" s="1376"/>
      <c r="AF966" s="1376"/>
      <c r="AG966" s="1376"/>
      <c r="AH966" s="1376"/>
      <c r="AI966" s="1377"/>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1">
        <f>SUM(AJ961:AQ965)</f>
        <v>9253488</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7" t="s">
        <v>479</v>
      </c>
      <c r="AG968" s="1398"/>
      <c r="AH968" s="1398"/>
      <c r="AI968" s="1399"/>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4" t="s">
        <v>1889</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1" t="s">
        <v>108</v>
      </c>
      <c r="AH969" s="1562"/>
      <c r="AI969" s="85"/>
      <c r="AJ969" s="1363">
        <f>ROUND(IF(AND(AG969="yes",D975&lt;&gt;""),AJ967*0.2,0),0)</f>
        <v>1850698</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7" t="s">
        <v>2273</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0" t="s">
        <v>2274</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6" t="s">
        <v>2452</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4" t="s">
        <v>1997</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5"/>
      <c r="AF976" s="82"/>
      <c r="AG976" s="1361" t="s">
        <v>482</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7" t="s">
        <v>1890</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4" t="s">
        <v>1998</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5"/>
      <c r="AF982" s="84"/>
      <c r="AG982" s="1361" t="s">
        <v>482</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4" t="s">
        <v>1999</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0.04</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4" t="s">
        <v>1891</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2" t="s">
        <v>1892</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4" t="s">
        <v>1893</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5"/>
      <c r="AF988" s="82"/>
      <c r="AG988" s="1361" t="s">
        <v>108</v>
      </c>
      <c r="AH988" s="1362"/>
      <c r="AI988" s="82"/>
      <c r="AJ988" s="1363">
        <f>ROUND(IF(AG988="yes",AJ967*0.02,0),0)</f>
        <v>185070</v>
      </c>
      <c r="AK988" s="1364"/>
      <c r="AL988" s="1364"/>
      <c r="AM988" s="1364"/>
      <c r="AN988" s="1364"/>
      <c r="AO988" s="1364"/>
      <c r="AP988" s="1364"/>
      <c r="AQ988" s="1365"/>
      <c r="AS988" s="963"/>
      <c r="AT988" s="963"/>
      <c r="AU988" s="963"/>
      <c r="AV988" s="43"/>
      <c r="AW988" s="43"/>
      <c r="AX988" s="43"/>
      <c r="AY988" s="43"/>
      <c r="AZ988" s="43"/>
      <c r="BA988" s="351">
        <f>IF($A$1063="Yes",0.01,0)</f>
        <v>0.01</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4" t="s">
        <v>1894</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5"/>
      <c r="AG990" s="1576"/>
      <c r="AH990" s="1576"/>
      <c r="AI990" s="1577"/>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4" t="s">
        <v>1895</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1" t="s">
        <v>108</v>
      </c>
      <c r="AH991" s="1362"/>
      <c r="AI991" s="85"/>
      <c r="AJ991" s="1363">
        <f>IF(AG991="yes",AJ967*BA992,0)</f>
        <v>925348.79999999993</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4" t="s">
        <v>2000</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7" t="str">
        <f>IF(AND(AG991="Yes",BA992=0),BA994,"")</f>
        <v/>
      </c>
      <c r="AG992" s="1208"/>
      <c r="AH992" s="1208"/>
      <c r="AI992" s="1209"/>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9.9999999999999992E-2</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7"/>
      <c r="AG993" s="1208"/>
      <c r="AH993" s="1208"/>
      <c r="AI993" s="1209"/>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6"/>
      <c r="AG994" s="1557"/>
      <c r="AH994" s="1557"/>
      <c r="AI994" s="1558"/>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7" t="s">
        <v>1896</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7" t="str">
        <f>IF(AG995="yes","Please Select Type and Enter Amount:","")</f>
        <v/>
      </c>
      <c r="AG996" s="1208"/>
      <c r="AH996" s="1208"/>
      <c r="AI996" s="1209"/>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4" t="s">
        <v>1897</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7"/>
      <c r="AG997" s="1208"/>
      <c r="AH997" s="1208"/>
      <c r="AI997" s="1209"/>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0"/>
      <c r="AG998" s="1210"/>
      <c r="AH998" s="1210"/>
      <c r="AI998" s="1210"/>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0"/>
      <c r="AG999" s="1210"/>
      <c r="AH999" s="1210"/>
      <c r="AI999" s="1210"/>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4" t="s">
        <v>1898</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5"/>
      <c r="AF1000" s="82"/>
      <c r="AG1000" s="1361" t="s">
        <v>482</v>
      </c>
      <c r="AH1000" s="1362"/>
      <c r="AI1000" s="85"/>
      <c r="AJ1000" s="1363">
        <f>ROUND(IF(AG1000="Yes",AF1002,0),0)</f>
        <v>0</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4" t="s">
        <v>2001</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1" t="str">
        <f>IF(AG1000="yes","Please Enter Amount:","")</f>
        <v/>
      </c>
      <c r="AG1001" s="1212"/>
      <c r="AH1001" s="1212"/>
      <c r="AI1001" s="1213"/>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0"/>
      <c r="AG1002" s="1210"/>
      <c r="AH1002" s="1210"/>
      <c r="AI1002" s="1210"/>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0"/>
      <c r="AG1003" s="1210"/>
      <c r="AH1003" s="1210"/>
      <c r="AI1003" s="1210"/>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2.9" customHeight="1">
      <c r="A1004" s="21"/>
      <c r="B1004" s="82"/>
      <c r="C1004" s="555" t="s">
        <v>578</v>
      </c>
      <c r="D1004" s="1204" t="s">
        <v>1899</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1" t="s">
        <v>482</v>
      </c>
      <c r="AH1004" s="1362"/>
      <c r="AI1004" s="85"/>
      <c r="AJ1004" s="1363">
        <f>ROUND(IF(AG1004="yes",(AJ967*0.1),0),0)</f>
        <v>0</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2.9" customHeight="1">
      <c r="A1005" s="21"/>
      <c r="B1005" s="79"/>
      <c r="C1005" s="556"/>
      <c r="D1005" s="1524" t="s">
        <v>1900</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2.9"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2.9" customHeight="1">
      <c r="A1007" s="554"/>
      <c r="B1007" s="79"/>
      <c r="C1007" s="555" t="s">
        <v>581</v>
      </c>
      <c r="D1007" s="1384" t="s">
        <v>2002</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2.9" customHeight="1">
      <c r="A1008" s="554"/>
      <c r="B1008" s="79"/>
      <c r="C1008" s="556"/>
      <c r="D1008" s="1532"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3"/>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2"/>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3"/>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4" t="s">
        <v>2004</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4" t="s">
        <v>482</v>
      </c>
      <c r="AH1011" s="1545"/>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2"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3"/>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2"/>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3"/>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2"/>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3"/>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4" t="s">
        <v>1901</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4" t="s">
        <v>2214</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12214604.800000001</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15792139</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1.2928898853935904</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6" t="s">
        <v>989</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6" t="s">
        <v>108</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6" t="s">
        <v>124</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6" t="s">
        <v>108</v>
      </c>
      <c r="B1048" s="1116"/>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6" t="s">
        <v>124</v>
      </c>
      <c r="B1055" s="1116"/>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6" t="s">
        <v>124</v>
      </c>
      <c r="B1059" s="1116"/>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6" t="s">
        <v>108</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6" t="s">
        <v>124</v>
      </c>
      <c r="B1071" s="1116"/>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8" t="s">
        <v>124</v>
      </c>
      <c r="B1075" s="1238"/>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16" sqref="D1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1" t="s">
        <v>184</v>
      </c>
      <c r="G1" s="1582"/>
      <c r="H1" s="1582"/>
      <c r="I1" s="1582"/>
      <c r="J1" s="1582"/>
      <c r="K1" s="1582"/>
      <c r="L1" s="1582"/>
      <c r="M1" s="1582"/>
      <c r="N1" s="1582"/>
      <c r="O1" s="1582"/>
      <c r="P1" s="1582"/>
      <c r="Q1" s="1582"/>
      <c r="R1" s="1583"/>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2)Homekey</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553500</v>
      </c>
      <c r="C4" s="241">
        <v>553500</v>
      </c>
      <c r="D4" s="241"/>
      <c r="E4" s="241">
        <f>+C4-SUM(F4:H4)</f>
        <v>0</v>
      </c>
      <c r="F4" s="241"/>
      <c r="G4" s="241">
        <v>553500</v>
      </c>
      <c r="H4" s="241"/>
      <c r="I4" s="241"/>
      <c r="J4" s="241"/>
      <c r="K4" s="241"/>
      <c r="L4" s="241"/>
      <c r="M4" s="241"/>
      <c r="N4" s="241"/>
      <c r="O4" s="241"/>
      <c r="P4" s="241"/>
      <c r="Q4" s="241"/>
      <c r="R4" s="241">
        <f>C4</f>
        <v>553500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553500</v>
      </c>
      <c r="C8" s="240">
        <f t="shared" ref="C8:R8" si="0">SUM(C4:C7)</f>
        <v>553500</v>
      </c>
      <c r="D8" s="240">
        <f t="shared" si="0"/>
        <v>0</v>
      </c>
      <c r="E8" s="240">
        <f t="shared" si="0"/>
        <v>0</v>
      </c>
      <c r="F8" s="240">
        <f t="shared" si="0"/>
        <v>0</v>
      </c>
      <c r="G8" s="240">
        <f t="shared" si="0"/>
        <v>553500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553500</v>
      </c>
      <c r="S8" s="242"/>
      <c r="T8" s="242"/>
      <c r="U8" s="237"/>
    </row>
    <row r="9" spans="1:21" s="238" customFormat="1" ht="11.4">
      <c r="A9" s="239" t="s">
        <v>1720</v>
      </c>
      <c r="B9" s="240">
        <f>SUM(C9+D9)</f>
        <v>2871500</v>
      </c>
      <c r="C9" s="241">
        <v>2871500</v>
      </c>
      <c r="D9" s="241"/>
      <c r="E9" s="241"/>
      <c r="F9" s="241"/>
      <c r="G9" s="241">
        <v>2871500</v>
      </c>
      <c r="H9" s="241"/>
      <c r="I9" s="241"/>
      <c r="J9" s="241"/>
      <c r="K9" s="241"/>
      <c r="L9" s="241"/>
      <c r="M9" s="241"/>
      <c r="N9" s="241"/>
      <c r="O9" s="241"/>
      <c r="P9" s="241"/>
      <c r="Q9" s="241"/>
      <c r="R9" s="241">
        <f>C9</f>
        <v>2871500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2871500</v>
      </c>
      <c r="C11" s="240">
        <f t="shared" ref="C11:T11" si="1">SUM(C9:C10)</f>
        <v>2871500</v>
      </c>
      <c r="D11" s="240">
        <f t="shared" si="1"/>
        <v>0</v>
      </c>
      <c r="E11" s="240">
        <f t="shared" si="1"/>
        <v>0</v>
      </c>
      <c r="F11" s="240">
        <f t="shared" si="1"/>
        <v>0</v>
      </c>
      <c r="G11" s="240">
        <f t="shared" si="1"/>
        <v>2871500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2871500</v>
      </c>
      <c r="S11" s="242"/>
      <c r="T11" s="240">
        <f t="shared" si="1"/>
        <v>0</v>
      </c>
      <c r="U11" s="237"/>
    </row>
    <row r="12" spans="1:21" s="238" customFormat="1">
      <c r="A12" s="243" t="s">
        <v>711</v>
      </c>
      <c r="B12" s="240">
        <f t="shared" ref="B12:R12" si="2">SUM(B8+B11)</f>
        <v>3425000</v>
      </c>
      <c r="C12" s="240">
        <f t="shared" si="2"/>
        <v>3425000</v>
      </c>
      <c r="D12" s="240">
        <f t="shared" si="2"/>
        <v>0</v>
      </c>
      <c r="E12" s="240">
        <f t="shared" si="2"/>
        <v>0</v>
      </c>
      <c r="F12" s="240">
        <f t="shared" si="2"/>
        <v>0</v>
      </c>
      <c r="G12" s="240">
        <f t="shared" si="2"/>
        <v>3425000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3425000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1200000</v>
      </c>
      <c r="C29" s="241">
        <v>1200000</v>
      </c>
      <c r="D29" s="241"/>
      <c r="E29" s="241">
        <f t="shared" ref="E29:E36" si="7">+C29-SUM(F29:H29)</f>
        <v>1200000</v>
      </c>
      <c r="F29" s="241"/>
      <c r="G29" s="241"/>
      <c r="H29" s="241"/>
      <c r="I29" s="241"/>
      <c r="J29" s="241"/>
      <c r="K29" s="241"/>
      <c r="L29" s="241"/>
      <c r="M29" s="241"/>
      <c r="N29" s="241"/>
      <c r="O29" s="241"/>
      <c r="P29" s="241"/>
      <c r="Q29" s="241"/>
      <c r="R29" s="241">
        <f t="shared" ref="R29:R37" si="8">SUM(E29:Q29)</f>
        <v>1200000</v>
      </c>
      <c r="S29" s="241">
        <f>+R29</f>
        <v>1200000</v>
      </c>
      <c r="T29" s="241"/>
      <c r="U29" s="237"/>
    </row>
    <row r="30" spans="1:21" s="238" customFormat="1" ht="11.4">
      <c r="A30" s="239" t="s">
        <v>911</v>
      </c>
      <c r="B30" s="240">
        <f t="shared" si="6"/>
        <v>4804300</v>
      </c>
      <c r="C30" s="241">
        <v>4804300</v>
      </c>
      <c r="D30" s="241"/>
      <c r="E30" s="241">
        <f t="shared" si="7"/>
        <v>1994206</v>
      </c>
      <c r="F30" s="241">
        <v>2810094</v>
      </c>
      <c r="G30" s="241"/>
      <c r="H30" s="241"/>
      <c r="I30" s="241"/>
      <c r="J30" s="241"/>
      <c r="K30" s="241"/>
      <c r="L30" s="241"/>
      <c r="M30" s="241"/>
      <c r="N30" s="241"/>
      <c r="O30" s="241"/>
      <c r="P30" s="241"/>
      <c r="Q30" s="241"/>
      <c r="R30" s="241">
        <f t="shared" si="8"/>
        <v>4804300</v>
      </c>
      <c r="S30" s="241">
        <f t="shared" ref="S30:S37" si="9">+R30</f>
        <v>4804300</v>
      </c>
      <c r="T30" s="241"/>
      <c r="U30" s="237"/>
    </row>
    <row r="31" spans="1:21" s="238" customFormat="1" ht="11.4">
      <c r="A31" s="239" t="s">
        <v>912</v>
      </c>
      <c r="B31" s="240">
        <f t="shared" si="6"/>
        <v>360258</v>
      </c>
      <c r="C31" s="241">
        <v>360258</v>
      </c>
      <c r="D31" s="241"/>
      <c r="E31" s="241">
        <f t="shared" si="7"/>
        <v>360258</v>
      </c>
      <c r="F31" s="241"/>
      <c r="G31" s="241"/>
      <c r="H31" s="241"/>
      <c r="I31" s="241"/>
      <c r="J31" s="241"/>
      <c r="K31" s="241"/>
      <c r="L31" s="241"/>
      <c r="M31" s="241"/>
      <c r="N31" s="241"/>
      <c r="O31" s="241"/>
      <c r="P31" s="241"/>
      <c r="Q31" s="241"/>
      <c r="R31" s="241">
        <f t="shared" si="8"/>
        <v>360258</v>
      </c>
      <c r="S31" s="241">
        <f t="shared" si="9"/>
        <v>360258</v>
      </c>
      <c r="T31" s="241"/>
      <c r="U31" s="237"/>
    </row>
    <row r="32" spans="1:21" s="238" customFormat="1" ht="11.4">
      <c r="A32" s="239" t="s">
        <v>913</v>
      </c>
      <c r="B32" s="240">
        <f t="shared" si="6"/>
        <v>127291</v>
      </c>
      <c r="C32" s="241">
        <v>127291</v>
      </c>
      <c r="D32" s="241"/>
      <c r="E32" s="241">
        <f t="shared" si="7"/>
        <v>127291</v>
      </c>
      <c r="F32" s="241"/>
      <c r="G32" s="241"/>
      <c r="H32" s="241"/>
      <c r="I32" s="241"/>
      <c r="J32" s="241"/>
      <c r="K32" s="241"/>
      <c r="L32" s="241"/>
      <c r="M32" s="241"/>
      <c r="N32" s="241"/>
      <c r="O32" s="241"/>
      <c r="P32" s="241"/>
      <c r="Q32" s="241"/>
      <c r="R32" s="241">
        <f t="shared" si="8"/>
        <v>127291</v>
      </c>
      <c r="S32" s="241">
        <f t="shared" si="9"/>
        <v>127291</v>
      </c>
      <c r="T32" s="241"/>
      <c r="U32" s="237"/>
    </row>
    <row r="33" spans="1:21" s="238" customFormat="1" ht="11.4">
      <c r="A33" s="239" t="s">
        <v>914</v>
      </c>
      <c r="B33" s="240">
        <f t="shared" si="6"/>
        <v>381873</v>
      </c>
      <c r="C33" s="241">
        <v>381873</v>
      </c>
      <c r="D33" s="241"/>
      <c r="E33" s="241">
        <f t="shared" si="7"/>
        <v>381873</v>
      </c>
      <c r="F33" s="241"/>
      <c r="G33" s="241"/>
      <c r="H33" s="241"/>
      <c r="I33" s="241"/>
      <c r="J33" s="241"/>
      <c r="K33" s="241"/>
      <c r="L33" s="241"/>
      <c r="M33" s="241"/>
      <c r="N33" s="241"/>
      <c r="O33" s="241"/>
      <c r="P33" s="241"/>
      <c r="Q33" s="241"/>
      <c r="R33" s="241">
        <f t="shared" si="8"/>
        <v>381873</v>
      </c>
      <c r="S33" s="241">
        <f t="shared" si="9"/>
        <v>381873</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206212</v>
      </c>
      <c r="C35" s="241">
        <v>206212</v>
      </c>
      <c r="D35" s="241"/>
      <c r="E35" s="241">
        <f t="shared" si="7"/>
        <v>206212</v>
      </c>
      <c r="F35" s="241"/>
      <c r="G35" s="241"/>
      <c r="H35" s="241"/>
      <c r="I35" s="241"/>
      <c r="J35" s="241"/>
      <c r="K35" s="241"/>
      <c r="L35" s="241"/>
      <c r="M35" s="241"/>
      <c r="N35" s="241"/>
      <c r="O35" s="241"/>
      <c r="P35" s="241"/>
      <c r="Q35" s="241"/>
      <c r="R35" s="241">
        <f t="shared" si="8"/>
        <v>206212</v>
      </c>
      <c r="S35" s="241">
        <f t="shared" si="9"/>
        <v>206212</v>
      </c>
      <c r="T35" s="241"/>
      <c r="U35" s="237"/>
    </row>
    <row r="36" spans="1:21" s="238" customFormat="1" ht="11.4">
      <c r="A36" s="250" t="s">
        <v>1952</v>
      </c>
      <c r="B36" s="240">
        <f t="shared" si="6"/>
        <v>400000</v>
      </c>
      <c r="C36" s="241">
        <v>400000</v>
      </c>
      <c r="D36" s="241"/>
      <c r="E36" s="241">
        <f t="shared" si="7"/>
        <v>400000</v>
      </c>
      <c r="F36" s="241"/>
      <c r="G36" s="241"/>
      <c r="H36" s="241"/>
      <c r="I36" s="241"/>
      <c r="J36" s="241"/>
      <c r="K36" s="241"/>
      <c r="L36" s="241"/>
      <c r="M36" s="241"/>
      <c r="N36" s="241"/>
      <c r="O36" s="241"/>
      <c r="P36" s="241"/>
      <c r="Q36" s="241"/>
      <c r="R36" s="241">
        <f t="shared" si="8"/>
        <v>400000</v>
      </c>
      <c r="S36" s="241">
        <f t="shared" si="9"/>
        <v>400000</v>
      </c>
      <c r="T36" s="241"/>
      <c r="U36" s="237"/>
    </row>
    <row r="37" spans="1:21" s="238" customFormat="1" ht="11.4">
      <c r="A37" s="246" t="s">
        <v>2447</v>
      </c>
      <c r="B37" s="240">
        <f t="shared" si="6"/>
        <v>2259396</v>
      </c>
      <c r="C37" s="241">
        <f>1229076+905320+125000</f>
        <v>2259396</v>
      </c>
      <c r="D37" s="241"/>
      <c r="E37" s="241">
        <f>+C37-SUM(F37:H37)</f>
        <v>734396</v>
      </c>
      <c r="F37" s="241"/>
      <c r="G37" s="241">
        <f>1229076+295924</f>
        <v>1525000</v>
      </c>
      <c r="H37" s="241"/>
      <c r="I37" s="241"/>
      <c r="J37" s="241"/>
      <c r="K37" s="241"/>
      <c r="L37" s="241"/>
      <c r="M37" s="241"/>
      <c r="N37" s="241"/>
      <c r="O37" s="241"/>
      <c r="P37" s="241"/>
      <c r="Q37" s="241"/>
      <c r="R37" s="241">
        <f t="shared" si="8"/>
        <v>2259396</v>
      </c>
      <c r="S37" s="241">
        <f t="shared" si="9"/>
        <v>2259396</v>
      </c>
      <c r="T37" s="241"/>
      <c r="U37" s="237"/>
    </row>
    <row r="38" spans="1:21" s="238" customFormat="1">
      <c r="A38" s="243" t="s">
        <v>919</v>
      </c>
      <c r="B38" s="240">
        <f t="shared" si="6"/>
        <v>9739330</v>
      </c>
      <c r="C38" s="240">
        <f>SUM(C29:C37)</f>
        <v>9739330</v>
      </c>
      <c r="D38" s="240">
        <f>SUM(D29:D37)</f>
        <v>0</v>
      </c>
      <c r="E38" s="240">
        <f>SUM(E29:E37)</f>
        <v>5404236</v>
      </c>
      <c r="F38" s="240">
        <f t="shared" ref="F38:T38" si="10">SUM(F29:F37)</f>
        <v>2810094</v>
      </c>
      <c r="G38" s="240">
        <f t="shared" si="10"/>
        <v>1525000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9739330</v>
      </c>
      <c r="S38" s="244">
        <f t="shared" si="10"/>
        <v>9739330</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500000</v>
      </c>
      <c r="C40" s="241">
        <v>500000</v>
      </c>
      <c r="D40" s="241"/>
      <c r="E40" s="241">
        <f t="shared" ref="E40:E41" si="11">+C40-SUM(F40:H40)</f>
        <v>185049</v>
      </c>
      <c r="F40" s="241"/>
      <c r="G40" s="241">
        <v>314951</v>
      </c>
      <c r="H40" s="241"/>
      <c r="I40" s="241"/>
      <c r="J40" s="241"/>
      <c r="K40" s="241"/>
      <c r="L40" s="241"/>
      <c r="M40" s="241"/>
      <c r="N40" s="241"/>
      <c r="O40" s="241"/>
      <c r="P40" s="241"/>
      <c r="Q40" s="241"/>
      <c r="R40" s="241">
        <f>SUM(E40:Q40)</f>
        <v>500000</v>
      </c>
      <c r="S40" s="241">
        <f>+R40</f>
        <v>500000</v>
      </c>
      <c r="T40" s="241"/>
      <c r="U40" s="237"/>
    </row>
    <row r="41" spans="1:21" s="238" customFormat="1" ht="11.4">
      <c r="A41" s="239" t="s">
        <v>922</v>
      </c>
      <c r="B41" s="240">
        <f>SUM(C41+D41)</f>
        <v>100000</v>
      </c>
      <c r="C41" s="241">
        <v>100000</v>
      </c>
      <c r="D41" s="241"/>
      <c r="E41" s="241">
        <f t="shared" si="1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923</v>
      </c>
      <c r="B42" s="240">
        <f>SUM(C42:D42)</f>
        <v>600000</v>
      </c>
      <c r="C42" s="240">
        <f>SUM(C39:C41)</f>
        <v>600000</v>
      </c>
      <c r="D42" s="240">
        <f>SUM(D39:D41)</f>
        <v>0</v>
      </c>
      <c r="E42" s="240">
        <f t="shared" ref="E42:T42" si="12">SUM(E40:E41)</f>
        <v>285049</v>
      </c>
      <c r="F42" s="240">
        <f t="shared" si="12"/>
        <v>0</v>
      </c>
      <c r="G42" s="240">
        <f t="shared" si="12"/>
        <v>314951</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600000</v>
      </c>
      <c r="S42" s="244">
        <f t="shared" si="12"/>
        <v>600000</v>
      </c>
      <c r="T42" s="244">
        <f t="shared" si="12"/>
        <v>0</v>
      </c>
      <c r="U42" s="237"/>
    </row>
    <row r="43" spans="1:21" s="238" customFormat="1">
      <c r="A43" s="243" t="s">
        <v>924</v>
      </c>
      <c r="B43" s="240">
        <f>SUM(C43:D43)</f>
        <v>450000</v>
      </c>
      <c r="C43" s="241">
        <v>450000</v>
      </c>
      <c r="D43" s="241"/>
      <c r="E43" s="241">
        <f>+C43-SUM(F43:H43)</f>
        <v>72749</v>
      </c>
      <c r="F43" s="241">
        <v>0</v>
      </c>
      <c r="G43" s="241">
        <v>377251</v>
      </c>
      <c r="H43" s="241"/>
      <c r="I43" s="241"/>
      <c r="J43" s="241"/>
      <c r="K43" s="241"/>
      <c r="L43" s="241"/>
      <c r="M43" s="241"/>
      <c r="N43" s="241"/>
      <c r="O43" s="241"/>
      <c r="P43" s="241"/>
      <c r="Q43" s="241"/>
      <c r="R43" s="241">
        <f>SUM(E43:Q43)</f>
        <v>450000</v>
      </c>
      <c r="S43" s="241">
        <f>+R43</f>
        <v>450000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496944</v>
      </c>
      <c r="C45" s="241">
        <f>272963+223981</f>
        <v>496944</v>
      </c>
      <c r="D45" s="241"/>
      <c r="E45" s="241">
        <f t="shared" ref="E45:E52" si="14">+C45-SUM(F45:H45)</f>
        <v>496944</v>
      </c>
      <c r="F45" s="241"/>
      <c r="G45" s="241"/>
      <c r="H45" s="241"/>
      <c r="I45" s="241"/>
      <c r="J45" s="241"/>
      <c r="K45" s="241"/>
      <c r="L45" s="241"/>
      <c r="M45" s="241"/>
      <c r="N45" s="241"/>
      <c r="O45" s="241"/>
      <c r="P45" s="241"/>
      <c r="Q45" s="241"/>
      <c r="R45" s="241">
        <f t="shared" ref="R45:R52" si="15">SUM(E45:Q45)</f>
        <v>496944</v>
      </c>
      <c r="S45" s="241">
        <v>272963</v>
      </c>
      <c r="T45" s="241"/>
      <c r="U45" s="237"/>
    </row>
    <row r="46" spans="1:21" s="238" customFormat="1" ht="11.4">
      <c r="A46" s="239" t="s">
        <v>927</v>
      </c>
      <c r="B46" s="240">
        <f t="shared" si="13"/>
        <v>91421</v>
      </c>
      <c r="C46" s="241">
        <v>91421</v>
      </c>
      <c r="D46" s="241"/>
      <c r="E46" s="241">
        <f t="shared" si="14"/>
        <v>91421</v>
      </c>
      <c r="F46" s="241"/>
      <c r="G46" s="241"/>
      <c r="H46" s="241"/>
      <c r="I46" s="241"/>
      <c r="J46" s="241"/>
      <c r="K46" s="241"/>
      <c r="L46" s="241"/>
      <c r="M46" s="241"/>
      <c r="N46" s="241"/>
      <c r="O46" s="241"/>
      <c r="P46" s="241"/>
      <c r="Q46" s="241"/>
      <c r="R46" s="241">
        <f t="shared" si="15"/>
        <v>91421</v>
      </c>
      <c r="S46" s="241">
        <f t="shared" ref="S46:S52" si="16">+R46</f>
        <v>91421</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11070</v>
      </c>
      <c r="C50" s="241">
        <v>11070</v>
      </c>
      <c r="D50" s="241"/>
      <c r="E50" s="241">
        <f t="shared" si="14"/>
        <v>11070</v>
      </c>
      <c r="F50" s="241"/>
      <c r="G50" s="241"/>
      <c r="H50" s="241"/>
      <c r="I50" s="241"/>
      <c r="J50" s="241"/>
      <c r="K50" s="241"/>
      <c r="L50" s="241"/>
      <c r="M50" s="241"/>
      <c r="N50" s="241"/>
      <c r="O50" s="241"/>
      <c r="P50" s="241"/>
      <c r="Q50" s="241"/>
      <c r="R50" s="241">
        <f t="shared" si="15"/>
        <v>11070</v>
      </c>
      <c r="S50" s="241">
        <f t="shared" si="16"/>
        <v>11070</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2448</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694435</v>
      </c>
      <c r="C53" s="244">
        <f t="shared" ref="C53:T53" si="17">SUM(C45:C52)</f>
        <v>694435</v>
      </c>
      <c r="D53" s="244">
        <f t="shared" si="17"/>
        <v>0</v>
      </c>
      <c r="E53" s="244">
        <f t="shared" si="17"/>
        <v>694435</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694435</v>
      </c>
      <c r="S53" s="244">
        <f t="shared" si="17"/>
        <v>470454</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f t="shared" ref="E55:E60" si="19">+C55-SUM(F55:H55)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ht="11.4">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14923765</v>
      </c>
      <c r="C62" s="240">
        <f t="shared" ref="C62:R62" si="22">SUM(C8+C11+C13+C14+C15+C26+C27+C38+C42+C43+C53+C61)</f>
        <v>14923765</v>
      </c>
      <c r="D62" s="240">
        <f t="shared" si="22"/>
        <v>0</v>
      </c>
      <c r="E62" s="240">
        <f t="shared" si="22"/>
        <v>6471469</v>
      </c>
      <c r="F62" s="240">
        <f t="shared" si="22"/>
        <v>2810094</v>
      </c>
      <c r="G62" s="240">
        <f t="shared" si="22"/>
        <v>5642202</v>
      </c>
      <c r="H62" s="240">
        <f t="shared" si="22"/>
        <v>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14923765</v>
      </c>
      <c r="S62" s="240">
        <f>SUM(S10+S13+S14+S15+S26+S27+S38+S42+S43+S53)</f>
        <v>11259784</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3">+C64-SUM(F64:H64)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2449</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+C71-SUM(F71:H71)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100158</v>
      </c>
      <c r="C74" s="241">
        <v>100158</v>
      </c>
      <c r="D74" s="241"/>
      <c r="E74" s="241">
        <f t="shared" si="26"/>
        <v>100158</v>
      </c>
      <c r="F74" s="241"/>
      <c r="G74" s="241"/>
      <c r="H74" s="241"/>
      <c r="I74" s="241"/>
      <c r="J74" s="241"/>
      <c r="K74" s="241"/>
      <c r="L74" s="241"/>
      <c r="M74" s="241"/>
      <c r="N74" s="241"/>
      <c r="O74" s="241"/>
      <c r="P74" s="241"/>
      <c r="Q74" s="241"/>
      <c r="R74" s="241">
        <f>SUM(E74:Q74)</f>
        <v>100158</v>
      </c>
      <c r="S74" s="242"/>
      <c r="T74" s="242"/>
      <c r="U74" s="237"/>
    </row>
    <row r="75" spans="1:21" s="238" customFormat="1" ht="11.4">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130158</v>
      </c>
      <c r="C76" s="240">
        <f t="shared" ref="C76:Q76" si="27">SUM(C71:C75)</f>
        <v>130158</v>
      </c>
      <c r="D76" s="240">
        <f t="shared" si="27"/>
        <v>0</v>
      </c>
      <c r="E76" s="240">
        <f>SUM(E71:E75)</f>
        <v>130158</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130158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881990</v>
      </c>
      <c r="C78" s="241">
        <v>881990</v>
      </c>
      <c r="D78" s="241"/>
      <c r="E78" s="241">
        <f t="shared" ref="E78:E79" si="28">+C78-SUM(F78:H78)</f>
        <v>881990</v>
      </c>
      <c r="F78" s="241"/>
      <c r="G78" s="241"/>
      <c r="H78" s="241"/>
      <c r="I78" s="241"/>
      <c r="J78" s="241"/>
      <c r="K78" s="241"/>
      <c r="L78" s="241"/>
      <c r="M78" s="241"/>
      <c r="N78" s="241"/>
      <c r="O78" s="241"/>
      <c r="P78" s="241"/>
      <c r="Q78" s="241"/>
      <c r="R78" s="241">
        <f>SUM(E78:Q78)</f>
        <v>881990</v>
      </c>
      <c r="S78" s="241">
        <f>+R78</f>
        <v>881990</v>
      </c>
      <c r="T78" s="241"/>
      <c r="U78" s="237"/>
    </row>
    <row r="79" spans="1:21" s="238" customFormat="1" ht="11.4">
      <c r="A79" s="239" t="s">
        <v>538</v>
      </c>
      <c r="B79" s="240">
        <f>SUM(C79+D79)</f>
        <v>125990</v>
      </c>
      <c r="C79" s="241">
        <v>125990</v>
      </c>
      <c r="D79" s="241"/>
      <c r="E79" s="241">
        <f t="shared" si="28"/>
        <v>94968</v>
      </c>
      <c r="F79" s="241"/>
      <c r="G79" s="241">
        <v>31022</v>
      </c>
      <c r="H79" s="241"/>
      <c r="I79" s="241"/>
      <c r="J79" s="241"/>
      <c r="K79" s="241"/>
      <c r="L79" s="241"/>
      <c r="M79" s="241"/>
      <c r="N79" s="241"/>
      <c r="O79" s="241"/>
      <c r="P79" s="241"/>
      <c r="Q79" s="241"/>
      <c r="R79" s="241">
        <f>SUM(E79:Q79)</f>
        <v>125990</v>
      </c>
      <c r="S79" s="241">
        <f>+R79</f>
        <v>125990</v>
      </c>
      <c r="T79" s="241"/>
      <c r="U79" s="237"/>
    </row>
    <row r="80" spans="1:21" s="238" customFormat="1">
      <c r="A80" s="243" t="s">
        <v>1742</v>
      </c>
      <c r="B80" s="240">
        <f>SUM(C80:D80)</f>
        <v>1007980</v>
      </c>
      <c r="C80" s="666">
        <f>SUM(C78:C79)</f>
        <v>1007980</v>
      </c>
      <c r="D80" s="666">
        <f t="shared" ref="D80:R80" si="29">SUM(D78:D79)</f>
        <v>0</v>
      </c>
      <c r="E80" s="666">
        <f t="shared" si="29"/>
        <v>976958</v>
      </c>
      <c r="F80" s="666">
        <f t="shared" si="29"/>
        <v>0</v>
      </c>
      <c r="G80" s="666">
        <f t="shared" si="29"/>
        <v>31022</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1007980</v>
      </c>
      <c r="S80" s="666">
        <f>SUM(S78:S79)</f>
        <v>1007980</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52969</v>
      </c>
      <c r="C82" s="241">
        <v>52969</v>
      </c>
      <c r="D82" s="241"/>
      <c r="E82" s="241">
        <f t="shared" ref="E82:E93" si="30">+C82-SUM(F82:H82)</f>
        <v>52969</v>
      </c>
      <c r="F82" s="241"/>
      <c r="G82" s="241"/>
      <c r="H82" s="241"/>
      <c r="I82" s="241"/>
      <c r="J82" s="241"/>
      <c r="K82" s="241"/>
      <c r="L82" s="241"/>
      <c r="M82" s="241"/>
      <c r="N82" s="241"/>
      <c r="O82" s="241"/>
      <c r="P82" s="241"/>
      <c r="Q82" s="241"/>
      <c r="R82" s="241">
        <f>SUM(E82:Q82)</f>
        <v>52969</v>
      </c>
      <c r="S82" s="242"/>
      <c r="T82" s="242"/>
      <c r="U82" s="237"/>
    </row>
    <row r="83" spans="1:21" s="238" customFormat="1" ht="11.4">
      <c r="A83" s="239" t="s">
        <v>516</v>
      </c>
      <c r="B83" s="240">
        <f t="shared" ref="B83:B93" si="31">SUM(C83+D83)</f>
        <v>7000</v>
      </c>
      <c r="C83" s="241">
        <v>7000</v>
      </c>
      <c r="D83" s="241"/>
      <c r="E83" s="241">
        <f t="shared" si="30"/>
        <v>7000</v>
      </c>
      <c r="F83" s="241"/>
      <c r="G83" s="241"/>
      <c r="H83" s="241"/>
      <c r="I83" s="241"/>
      <c r="J83" s="241"/>
      <c r="K83" s="241"/>
      <c r="L83" s="241"/>
      <c r="M83" s="241"/>
      <c r="N83" s="241"/>
      <c r="O83" s="241"/>
      <c r="P83" s="241"/>
      <c r="Q83" s="241"/>
      <c r="R83" s="241">
        <f t="shared" ref="R83:R93" si="32">SUM(E83:Q83)</f>
        <v>7000</v>
      </c>
      <c r="S83" s="241">
        <f t="shared" ref="S83:S85" si="33">+R83</f>
        <v>7000</v>
      </c>
      <c r="T83" s="241"/>
      <c r="U83" s="237"/>
    </row>
    <row r="84" spans="1:21" s="238" customFormat="1" ht="11.4">
      <c r="A84" s="239" t="s">
        <v>517</v>
      </c>
      <c r="B84" s="240">
        <f t="shared" si="31"/>
        <v>0</v>
      </c>
      <c r="C84" s="241"/>
      <c r="D84" s="241"/>
      <c r="E84" s="241">
        <f t="shared" si="30"/>
        <v>0</v>
      </c>
      <c r="F84" s="241"/>
      <c r="G84" s="241"/>
      <c r="H84" s="241"/>
      <c r="I84" s="241"/>
      <c r="J84" s="241"/>
      <c r="K84" s="241"/>
      <c r="L84" s="241"/>
      <c r="M84" s="241"/>
      <c r="N84" s="241"/>
      <c r="O84" s="241"/>
      <c r="P84" s="241"/>
      <c r="Q84" s="241"/>
      <c r="R84" s="241">
        <f t="shared" si="32"/>
        <v>0</v>
      </c>
      <c r="S84" s="241">
        <f t="shared" si="33"/>
        <v>0</v>
      </c>
      <c r="T84" s="241"/>
      <c r="U84" s="237"/>
    </row>
    <row r="85" spans="1:21" s="238" customFormat="1" ht="11.4">
      <c r="A85" s="239" t="s">
        <v>518</v>
      </c>
      <c r="B85" s="240">
        <f t="shared" si="31"/>
        <v>1000000</v>
      </c>
      <c r="C85" s="241">
        <f>650000+350000</f>
        <v>1000000</v>
      </c>
      <c r="D85" s="241"/>
      <c r="E85" s="241">
        <f t="shared" si="30"/>
        <v>557082</v>
      </c>
      <c r="F85" s="241"/>
      <c r="G85" s="241">
        <v>442918</v>
      </c>
      <c r="H85" s="241"/>
      <c r="I85" s="241"/>
      <c r="J85" s="241"/>
      <c r="K85" s="241"/>
      <c r="L85" s="241"/>
      <c r="M85" s="241"/>
      <c r="N85" s="241"/>
      <c r="O85" s="241"/>
      <c r="P85" s="241"/>
      <c r="Q85" s="241"/>
      <c r="R85" s="241">
        <f t="shared" si="32"/>
        <v>1000000</v>
      </c>
      <c r="S85" s="241">
        <f t="shared" si="33"/>
        <v>1000000</v>
      </c>
      <c r="T85" s="241"/>
      <c r="U85" s="237"/>
    </row>
    <row r="86" spans="1:21" s="238" customFormat="1" ht="11.4">
      <c r="A86" s="239" t="s">
        <v>519</v>
      </c>
      <c r="B86" s="240">
        <f t="shared" si="31"/>
        <v>40000</v>
      </c>
      <c r="C86" s="241">
        <v>40000</v>
      </c>
      <c r="D86" s="241"/>
      <c r="E86" s="241">
        <f t="shared" si="30"/>
        <v>40000</v>
      </c>
      <c r="F86" s="241"/>
      <c r="G86" s="241"/>
      <c r="H86" s="241"/>
      <c r="I86" s="241"/>
      <c r="J86" s="241"/>
      <c r="K86" s="241"/>
      <c r="L86" s="241"/>
      <c r="M86" s="241"/>
      <c r="N86" s="241"/>
      <c r="O86" s="241"/>
      <c r="P86" s="241"/>
      <c r="Q86" s="241"/>
      <c r="R86" s="241">
        <f t="shared" si="32"/>
        <v>40000</v>
      </c>
      <c r="S86" s="241"/>
      <c r="T86" s="241"/>
      <c r="U86" s="237"/>
    </row>
    <row r="87" spans="1:21" s="238" customFormat="1" ht="11.4">
      <c r="A87" s="239" t="s">
        <v>520</v>
      </c>
      <c r="B87" s="240">
        <f t="shared" si="31"/>
        <v>45522</v>
      </c>
      <c r="C87" s="241">
        <v>45522</v>
      </c>
      <c r="D87" s="241"/>
      <c r="E87" s="241">
        <f t="shared" si="30"/>
        <v>21615</v>
      </c>
      <c r="F87" s="241"/>
      <c r="G87" s="241">
        <v>23907</v>
      </c>
      <c r="H87" s="241"/>
      <c r="I87" s="241"/>
      <c r="J87" s="241"/>
      <c r="K87" s="241"/>
      <c r="L87" s="241"/>
      <c r="M87" s="241"/>
      <c r="N87" s="241"/>
      <c r="O87" s="241"/>
      <c r="P87" s="241"/>
      <c r="Q87" s="241"/>
      <c r="R87" s="241">
        <f t="shared" si="32"/>
        <v>45522</v>
      </c>
      <c r="S87" s="242"/>
      <c r="T87" s="242"/>
      <c r="U87" s="237"/>
    </row>
    <row r="88" spans="1:21" s="238" customFormat="1" ht="11.4">
      <c r="A88" s="239" t="s">
        <v>521</v>
      </c>
      <c r="B88" s="240">
        <f t="shared" si="31"/>
        <v>40000</v>
      </c>
      <c r="C88" s="241">
        <v>40000</v>
      </c>
      <c r="D88" s="241"/>
      <c r="E88" s="241">
        <f t="shared" si="30"/>
        <v>40000</v>
      </c>
      <c r="F88" s="241"/>
      <c r="G88" s="241"/>
      <c r="H88" s="241"/>
      <c r="I88" s="241"/>
      <c r="J88" s="241"/>
      <c r="K88" s="241"/>
      <c r="L88" s="241"/>
      <c r="M88" s="241"/>
      <c r="N88" s="241"/>
      <c r="O88" s="241"/>
      <c r="P88" s="241"/>
      <c r="Q88" s="241"/>
      <c r="R88" s="241">
        <f t="shared" si="32"/>
        <v>40000</v>
      </c>
      <c r="S88" s="241">
        <f t="shared" ref="S88:S93" si="34">+R88</f>
        <v>40000</v>
      </c>
      <c r="T88" s="241"/>
      <c r="U88" s="237"/>
    </row>
    <row r="89" spans="1:21" s="238" customFormat="1" ht="11.4">
      <c r="A89" s="239" t="s">
        <v>522</v>
      </c>
      <c r="B89" s="240">
        <f t="shared" si="31"/>
        <v>10000</v>
      </c>
      <c r="C89" s="241">
        <v>10000</v>
      </c>
      <c r="D89" s="241"/>
      <c r="E89" s="241">
        <f t="shared" si="30"/>
        <v>10000</v>
      </c>
      <c r="F89" s="241"/>
      <c r="G89" s="241"/>
      <c r="H89" s="241"/>
      <c r="I89" s="241"/>
      <c r="J89" s="241"/>
      <c r="K89" s="241"/>
      <c r="L89" s="241"/>
      <c r="M89" s="241"/>
      <c r="N89" s="241"/>
      <c r="O89" s="241"/>
      <c r="P89" s="241"/>
      <c r="Q89" s="241"/>
      <c r="R89" s="241">
        <f t="shared" si="32"/>
        <v>10000</v>
      </c>
      <c r="S89" s="241">
        <f t="shared" si="34"/>
        <v>10000</v>
      </c>
      <c r="T89" s="241"/>
      <c r="U89" s="237"/>
    </row>
    <row r="90" spans="1:21" s="238" customFormat="1" ht="11.4">
      <c r="A90" s="250" t="s">
        <v>1315</v>
      </c>
      <c r="B90" s="240">
        <f t="shared" si="31"/>
        <v>45000</v>
      </c>
      <c r="C90" s="241">
        <v>45000</v>
      </c>
      <c r="D90" s="241"/>
      <c r="E90" s="241">
        <f t="shared" si="30"/>
        <v>33000</v>
      </c>
      <c r="F90" s="241"/>
      <c r="G90" s="241">
        <v>12000</v>
      </c>
      <c r="H90" s="241"/>
      <c r="I90" s="241"/>
      <c r="J90" s="241"/>
      <c r="K90" s="241"/>
      <c r="L90" s="241"/>
      <c r="M90" s="241"/>
      <c r="N90" s="241"/>
      <c r="O90" s="241"/>
      <c r="P90" s="241"/>
      <c r="Q90" s="241"/>
      <c r="R90" s="241">
        <f t="shared" si="32"/>
        <v>45000</v>
      </c>
      <c r="S90" s="241">
        <f t="shared" si="34"/>
        <v>45000</v>
      </c>
      <c r="T90" s="241"/>
      <c r="U90" s="237"/>
    </row>
    <row r="91" spans="1:21" s="238" customFormat="1" ht="11.4">
      <c r="A91" s="250" t="s">
        <v>1740</v>
      </c>
      <c r="B91" s="240">
        <f t="shared" si="31"/>
        <v>10000</v>
      </c>
      <c r="C91" s="241">
        <v>10000</v>
      </c>
      <c r="D91" s="241"/>
      <c r="E91" s="241">
        <f t="shared" si="30"/>
        <v>1050</v>
      </c>
      <c r="F91" s="241"/>
      <c r="G91" s="241">
        <v>8950</v>
      </c>
      <c r="H91" s="241"/>
      <c r="I91" s="241"/>
      <c r="J91" s="241"/>
      <c r="K91" s="241"/>
      <c r="L91" s="241"/>
      <c r="M91" s="241"/>
      <c r="N91" s="241"/>
      <c r="O91" s="241"/>
      <c r="P91" s="241"/>
      <c r="Q91" s="241"/>
      <c r="R91" s="241">
        <f t="shared" si="32"/>
        <v>10000</v>
      </c>
      <c r="S91" s="241">
        <f t="shared" si="34"/>
        <v>10000</v>
      </c>
      <c r="T91" s="241"/>
      <c r="U91" s="237"/>
    </row>
    <row r="92" spans="1:21" s="238" customFormat="1" ht="11.4">
      <c r="A92" s="246" t="s">
        <v>1110</v>
      </c>
      <c r="B92" s="240">
        <f t="shared" si="31"/>
        <v>43530</v>
      </c>
      <c r="C92" s="241">
        <v>43530</v>
      </c>
      <c r="D92" s="241"/>
      <c r="E92" s="241">
        <f t="shared" si="30"/>
        <v>43530</v>
      </c>
      <c r="F92" s="241"/>
      <c r="G92" s="241"/>
      <c r="H92" s="241"/>
      <c r="I92" s="241"/>
      <c r="J92" s="241"/>
      <c r="K92" s="241"/>
      <c r="L92" s="241"/>
      <c r="M92" s="241"/>
      <c r="N92" s="241"/>
      <c r="O92" s="241"/>
      <c r="P92" s="241"/>
      <c r="Q92" s="241"/>
      <c r="R92" s="241">
        <f t="shared" si="32"/>
        <v>43530</v>
      </c>
      <c r="S92" s="241">
        <f t="shared" si="34"/>
        <v>43530</v>
      </c>
      <c r="T92" s="241"/>
      <c r="U92" s="237"/>
    </row>
    <row r="93" spans="1:21" s="238" customFormat="1" ht="11.4">
      <c r="A93" s="246" t="s">
        <v>2451</v>
      </c>
      <c r="B93" s="240">
        <f t="shared" si="31"/>
        <v>194001</v>
      </c>
      <c r="C93" s="241">
        <v>194001</v>
      </c>
      <c r="D93" s="241"/>
      <c r="E93" s="241">
        <f t="shared" si="30"/>
        <v>0</v>
      </c>
      <c r="F93" s="241"/>
      <c r="G93" s="241">
        <v>194001</v>
      </c>
      <c r="H93" s="241"/>
      <c r="I93" s="241"/>
      <c r="J93" s="241"/>
      <c r="K93" s="241"/>
      <c r="L93" s="241"/>
      <c r="M93" s="241"/>
      <c r="N93" s="241"/>
      <c r="O93" s="241"/>
      <c r="P93" s="241"/>
      <c r="Q93" s="241"/>
      <c r="R93" s="241">
        <f t="shared" si="32"/>
        <v>194001</v>
      </c>
      <c r="S93" s="241">
        <f t="shared" si="34"/>
        <v>194001</v>
      </c>
      <c r="T93" s="241"/>
      <c r="U93" s="237"/>
    </row>
    <row r="94" spans="1:21" s="238" customFormat="1" ht="11.4">
      <c r="A94" s="246" t="s">
        <v>2450</v>
      </c>
      <c r="B94" s="240">
        <f>SUM(C94+D94)</f>
        <v>100000</v>
      </c>
      <c r="C94" s="241">
        <v>100000</v>
      </c>
      <c r="D94" s="241"/>
      <c r="E94" s="241">
        <f>+C94</f>
        <v>100000</v>
      </c>
      <c r="F94" s="241"/>
      <c r="G94" s="241"/>
      <c r="H94" s="241"/>
      <c r="I94" s="241"/>
      <c r="J94" s="241"/>
      <c r="K94" s="241"/>
      <c r="L94" s="241"/>
      <c r="M94" s="241"/>
      <c r="N94" s="241"/>
      <c r="O94" s="241"/>
      <c r="P94" s="241"/>
      <c r="Q94" s="241"/>
      <c r="R94" s="241">
        <f>SUM(E94:Q94)</f>
        <v>100000</v>
      </c>
      <c r="S94" s="241"/>
      <c r="T94" s="241"/>
      <c r="U94" s="237"/>
    </row>
    <row r="95" spans="1:21" s="238" customFormat="1">
      <c r="A95" s="243" t="s">
        <v>523</v>
      </c>
      <c r="B95" s="240">
        <f>SUM(C95:D95)</f>
        <v>1588022</v>
      </c>
      <c r="C95" s="240">
        <f t="shared" ref="C95:R95" si="35">SUM(C82:C94)</f>
        <v>1588022</v>
      </c>
      <c r="D95" s="240">
        <f t="shared" si="35"/>
        <v>0</v>
      </c>
      <c r="E95" s="240">
        <f t="shared" si="35"/>
        <v>906246</v>
      </c>
      <c r="F95" s="240">
        <f t="shared" si="35"/>
        <v>0</v>
      </c>
      <c r="G95" s="240">
        <f t="shared" si="35"/>
        <v>681776</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1588022</v>
      </c>
      <c r="S95" s="244">
        <f>SUM(S83:S86,S88:S94)</f>
        <v>1349531</v>
      </c>
      <c r="T95" s="240">
        <f>SUM(T83:T86,T88:T94)</f>
        <v>0</v>
      </c>
      <c r="U95" s="237"/>
    </row>
    <row r="96" spans="1:21" s="238" customFormat="1">
      <c r="A96" s="243" t="s">
        <v>524</v>
      </c>
      <c r="B96" s="240">
        <f>SUM(C96:D96)</f>
        <v>17764925</v>
      </c>
      <c r="C96" s="240">
        <f t="shared" ref="C96:R96" si="36">SUM(C62+C69+C76+C80+C95)</f>
        <v>17764925</v>
      </c>
      <c r="D96" s="240">
        <f t="shared" si="36"/>
        <v>0</v>
      </c>
      <c r="E96" s="240">
        <f t="shared" si="36"/>
        <v>8599831</v>
      </c>
      <c r="F96" s="240">
        <f t="shared" si="36"/>
        <v>2810094</v>
      </c>
      <c r="G96" s="240">
        <f t="shared" si="36"/>
        <v>6355000</v>
      </c>
      <c r="H96" s="240">
        <f t="shared" si="36"/>
        <v>0</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17764925</v>
      </c>
      <c r="S96" s="244">
        <f>SUM(+S62+S69+S80+S95)</f>
        <v>13732295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2059844</v>
      </c>
      <c r="C98" s="241">
        <v>2059844</v>
      </c>
      <c r="D98" s="241"/>
      <c r="E98" s="241">
        <f>+C98-SUM(F98:H98)</f>
        <v>1989844</v>
      </c>
      <c r="F98" s="241"/>
      <c r="G98" s="241">
        <v>70000</v>
      </c>
      <c r="H98" s="241"/>
      <c r="I98" s="241"/>
      <c r="J98" s="241"/>
      <c r="K98" s="241"/>
      <c r="L98" s="241"/>
      <c r="M98" s="241"/>
      <c r="N98" s="241"/>
      <c r="O98" s="241"/>
      <c r="P98" s="241"/>
      <c r="Q98" s="241"/>
      <c r="R98" s="241">
        <f>SUM(E98:Q98)</f>
        <v>2059844</v>
      </c>
      <c r="S98" s="241">
        <f>+R98</f>
        <v>2059844</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2059844</v>
      </c>
      <c r="C103" s="240">
        <f t="shared" ref="C103:T103" si="37">SUM(C98:C102)</f>
        <v>2059844</v>
      </c>
      <c r="D103" s="240">
        <f t="shared" si="37"/>
        <v>0</v>
      </c>
      <c r="E103" s="240">
        <f t="shared" si="37"/>
        <v>1989844</v>
      </c>
      <c r="F103" s="240">
        <f t="shared" si="37"/>
        <v>0</v>
      </c>
      <c r="G103" s="240">
        <f t="shared" si="37"/>
        <v>70000</v>
      </c>
      <c r="H103" s="240">
        <f t="shared" si="37"/>
        <v>0</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2059844</v>
      </c>
      <c r="S103" s="244">
        <f t="shared" si="37"/>
        <v>2059844</v>
      </c>
      <c r="T103" s="244">
        <f t="shared" si="37"/>
        <v>0</v>
      </c>
      <c r="U103" s="237"/>
    </row>
    <row r="104" spans="1:21" s="238" customFormat="1">
      <c r="A104" s="243" t="s">
        <v>1156</v>
      </c>
      <c r="B104" s="244">
        <f>SUM(C104:D104)</f>
        <v>19824769</v>
      </c>
      <c r="C104" s="244">
        <f t="shared" ref="C104:R104" si="38">SUM(C96+C103)</f>
        <v>19824769</v>
      </c>
      <c r="D104" s="244">
        <f t="shared" si="38"/>
        <v>0</v>
      </c>
      <c r="E104" s="244">
        <f t="shared" si="38"/>
        <v>10589675</v>
      </c>
      <c r="F104" s="244">
        <f t="shared" si="38"/>
        <v>2810094</v>
      </c>
      <c r="G104" s="244">
        <f t="shared" si="38"/>
        <v>6425000</v>
      </c>
      <c r="H104" s="244">
        <f t="shared" si="38"/>
        <v>0</v>
      </c>
      <c r="I104" s="244">
        <f t="shared" si="38"/>
        <v>0</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19824769</v>
      </c>
      <c r="S104" s="244">
        <f>S96+S103</f>
        <v>15792139</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15792139</v>
      </c>
      <c r="T106" s="244">
        <f>T104+T105</f>
        <v>0</v>
      </c>
      <c r="U106" s="256"/>
    </row>
    <row r="107" spans="1:21" s="258" customFormat="1">
      <c r="A107" s="257" t="s">
        <v>1107</v>
      </c>
      <c r="B107" s="252"/>
      <c r="C107" s="252"/>
      <c r="D107" s="252"/>
      <c r="E107" s="240">
        <f>Application!AO634</f>
        <v>10589675</v>
      </c>
      <c r="F107" s="240">
        <f>Application!AO621</f>
        <v>2810094</v>
      </c>
      <c r="G107" s="240">
        <f>Application!AO622</f>
        <v>6425000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7" t="s">
        <v>1291</v>
      </c>
      <c r="E122" s="1587"/>
      <c r="F122" s="1587"/>
      <c r="U122" s="256"/>
    </row>
    <row r="123" spans="1:21" s="253" customFormat="1" ht="11.4">
      <c r="A123" s="253" t="s">
        <v>1292</v>
      </c>
      <c r="B123" s="546"/>
      <c r="D123" s="1589"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3.2">
      <c r="A129" s="209" t="s">
        <v>499</v>
      </c>
      <c r="B129" s="546"/>
      <c r="C129" s="209"/>
      <c r="D129" s="1586" t="s">
        <v>1298</v>
      </c>
      <c r="E129" s="1586"/>
      <c r="F129" s="1586"/>
      <c r="G129" s="1586"/>
      <c r="H129" s="1586"/>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3.2">
      <c r="A132" s="548"/>
      <c r="B132" s="209"/>
      <c r="C132" s="209"/>
      <c r="D132" s="1590" t="s">
        <v>1301</v>
      </c>
      <c r="E132" s="1590"/>
      <c r="F132" s="1590"/>
      <c r="G132" s="1590"/>
      <c r="H132" s="1590"/>
      <c r="I132" s="209"/>
      <c r="J132" s="1590" t="s">
        <v>1302</v>
      </c>
      <c r="K132" s="1590"/>
      <c r="L132" s="1590"/>
      <c r="M132" s="1590"/>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1304</v>
      </c>
      <c r="B139" s="1588"/>
      <c r="C139" s="158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1" t="s">
        <v>1746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IF(T25=100%,"",'Sources and Basis Breakdown'!J2)</f>
        <v>30% PVC for Acquisition
NON-DDA/
NON-QCT Building(s)</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15792139</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 customHeight="1">
      <c r="B13" s="8"/>
      <c r="C13" s="1625" t="s">
        <v>1712</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 customHeight="1">
      <c r="B14" s="8"/>
      <c r="C14" s="1626" t="s">
        <v>768</v>
      </c>
      <c r="D14" s="1626"/>
      <c r="E14" s="1626"/>
      <c r="F14" s="1626"/>
      <c r="G14" s="1626"/>
      <c r="H14" s="1626"/>
      <c r="I14" s="1626"/>
      <c r="J14" s="1626"/>
      <c r="K14" s="1626"/>
      <c r="L14" s="1626"/>
      <c r="M14" s="1626"/>
      <c r="N14" s="1626"/>
      <c r="O14" s="1626"/>
      <c r="P14" s="1626"/>
      <c r="Q14" s="1626"/>
      <c r="R14" s="1626"/>
      <c r="S14" s="1627"/>
      <c r="T14" s="1166"/>
      <c r="U14" s="1182"/>
      <c r="V14" s="1182"/>
      <c r="W14" s="1182"/>
      <c r="X14" s="1182"/>
      <c r="Y14" s="1166"/>
      <c r="Z14" s="1182"/>
      <c r="AA14" s="1182"/>
      <c r="AB14" s="1182"/>
      <c r="AC14" s="1182"/>
      <c r="AD14" s="1182"/>
      <c r="AE14" s="1182"/>
      <c r="AF14" s="1182"/>
      <c r="AG14" s="1182"/>
      <c r="AH14" s="1182"/>
      <c r="AI14" s="1182"/>
      <c r="AJ14" s="1182"/>
      <c r="AK14" s="1182"/>
      <c r="AL14" s="1182"/>
      <c r="AM14" s="1182"/>
    </row>
    <row r="15" spans="1:40" ht="12.9" customHeight="1">
      <c r="B15" s="8"/>
      <c r="C15" s="1626" t="s">
        <v>769</v>
      </c>
      <c r="D15" s="1626"/>
      <c r="E15" s="1626"/>
      <c r="F15" s="1626"/>
      <c r="G15" s="1626"/>
      <c r="H15" s="1626"/>
      <c r="I15" s="1626"/>
      <c r="J15" s="1626"/>
      <c r="K15" s="1626"/>
      <c r="L15" s="1626"/>
      <c r="M15" s="1626"/>
      <c r="N15" s="1626"/>
      <c r="O15" s="1626"/>
      <c r="P15" s="1626"/>
      <c r="Q15" s="1626"/>
      <c r="R15" s="1626"/>
      <c r="S15" s="1627"/>
      <c r="T15" s="1166"/>
      <c r="U15" s="1182"/>
      <c r="V15" s="1182"/>
      <c r="W15" s="1182"/>
      <c r="X15" s="1182"/>
      <c r="Y15" s="1166"/>
      <c r="Z15" s="1182"/>
      <c r="AA15" s="1182"/>
      <c r="AB15" s="1182"/>
      <c r="AC15" s="1182"/>
      <c r="AD15" s="1182"/>
      <c r="AE15" s="1182"/>
      <c r="AF15" s="1182"/>
      <c r="AG15" s="1182"/>
      <c r="AH15" s="1182"/>
      <c r="AI15" s="1182"/>
      <c r="AJ15" s="1182"/>
      <c r="AK15" s="1182"/>
      <c r="AL15" s="1182"/>
      <c r="AM15" s="1182"/>
    </row>
    <row r="16" spans="1:40" ht="12.9" customHeight="1">
      <c r="B16" s="8"/>
      <c r="C16" s="1625" t="s">
        <v>1012</v>
      </c>
      <c r="D16" s="1625"/>
      <c r="E16" s="1625"/>
      <c r="F16" s="1625"/>
      <c r="G16" s="1625"/>
      <c r="H16" s="1625"/>
      <c r="I16" s="1625"/>
      <c r="J16" s="1625"/>
      <c r="K16" s="1625"/>
      <c r="L16" s="1625"/>
      <c r="M16" s="1625"/>
      <c r="N16" s="1625"/>
      <c r="O16" s="1625"/>
      <c r="P16" s="1625"/>
      <c r="Q16" s="1625"/>
      <c r="R16" s="1625"/>
      <c r="S16" s="1628"/>
      <c r="T16" s="1166"/>
      <c r="U16" s="1182"/>
      <c r="V16" s="1182"/>
      <c r="W16" s="1182"/>
      <c r="X16" s="1182"/>
      <c r="Y16" s="1166"/>
      <c r="Z16" s="1182"/>
      <c r="AA16" s="1182"/>
      <c r="AB16" s="1182"/>
      <c r="AC16" s="1182"/>
      <c r="AD16" s="1182"/>
      <c r="AE16" s="1182"/>
      <c r="AF16" s="1182"/>
      <c r="AG16" s="1182"/>
      <c r="AH16" s="1182"/>
      <c r="AI16" s="1182"/>
      <c r="AJ16" s="1182"/>
      <c r="AK16" s="1182"/>
      <c r="AL16" s="1182"/>
      <c r="AM16" s="1182"/>
    </row>
    <row r="17" spans="1:39" ht="12.9" customHeight="1">
      <c r="B17" s="8"/>
      <c r="C17" s="1626" t="s">
        <v>770</v>
      </c>
      <c r="D17" s="1626"/>
      <c r="E17" s="1626"/>
      <c r="F17" s="1626"/>
      <c r="G17" s="1626"/>
      <c r="H17" s="1626"/>
      <c r="I17" s="1626"/>
      <c r="J17" s="1626"/>
      <c r="K17" s="1626"/>
      <c r="L17" s="1626"/>
      <c r="M17" s="1626"/>
      <c r="N17" s="1626"/>
      <c r="O17" s="1626"/>
      <c r="P17" s="1626"/>
      <c r="Q17" s="1626"/>
      <c r="R17" s="1626"/>
      <c r="S17" s="1627"/>
      <c r="T17" s="1166"/>
      <c r="U17" s="1182"/>
      <c r="V17" s="1182"/>
      <c r="W17" s="1182"/>
      <c r="X17" s="1182"/>
      <c r="Y17" s="1166"/>
      <c r="Z17" s="1182"/>
      <c r="AA17" s="1182"/>
      <c r="AB17" s="1182"/>
      <c r="AC17" s="1182"/>
      <c r="AD17" s="1182"/>
      <c r="AE17" s="1182"/>
      <c r="AF17" s="1182"/>
      <c r="AG17" s="1182"/>
      <c r="AH17" s="1182"/>
      <c r="AI17" s="1182"/>
      <c r="AJ17" s="1182"/>
      <c r="AK17" s="1182"/>
      <c r="AL17" s="1182"/>
      <c r="AM17" s="1182"/>
    </row>
    <row r="18" spans="1:39" ht="12.9" customHeight="1">
      <c r="B18" s="941"/>
      <c r="C18" s="1621" t="s">
        <v>1217</v>
      </c>
      <c r="D18" s="1621"/>
      <c r="E18" s="1621"/>
      <c r="F18" s="1621"/>
      <c r="G18" s="1621"/>
      <c r="H18" s="1621"/>
      <c r="I18" s="1621"/>
      <c r="J18" s="1621"/>
      <c r="K18" s="1621"/>
      <c r="L18" s="1621"/>
      <c r="M18" s="1621"/>
      <c r="N18" s="1621"/>
      <c r="O18" s="1621"/>
      <c r="P18" s="1621"/>
      <c r="Q18" s="1621"/>
      <c r="R18" s="1621"/>
      <c r="S18" s="1622"/>
      <c r="T18" s="1164"/>
      <c r="U18" s="1165"/>
      <c r="V18" s="1165"/>
      <c r="W18" s="1165"/>
      <c r="X18" s="1166"/>
      <c r="Y18" s="1166"/>
      <c r="Z18" s="1182"/>
      <c r="AA18" s="1182"/>
      <c r="AB18" s="1182"/>
      <c r="AC18" s="1182"/>
      <c r="AD18" s="1182"/>
      <c r="AE18" s="1182"/>
      <c r="AF18" s="1182"/>
      <c r="AG18" s="1182"/>
      <c r="AH18" s="1182"/>
      <c r="AI18" s="1182"/>
      <c r="AJ18" s="1182"/>
      <c r="AK18" s="1182"/>
      <c r="AL18" s="1182"/>
      <c r="AM18" s="1182"/>
    </row>
    <row r="19" spans="1:39" ht="12.9" customHeight="1">
      <c r="B19" s="484"/>
      <c r="C19" s="1621" t="s">
        <v>1217</v>
      </c>
      <c r="D19" s="1621"/>
      <c r="E19" s="1621"/>
      <c r="F19" s="1621"/>
      <c r="G19" s="1621"/>
      <c r="H19" s="1621"/>
      <c r="I19" s="1621"/>
      <c r="J19" s="1621"/>
      <c r="K19" s="1621"/>
      <c r="L19" s="1621"/>
      <c r="M19" s="1621"/>
      <c r="N19" s="1621"/>
      <c r="O19" s="1621"/>
      <c r="P19" s="1621"/>
      <c r="Q19" s="1621"/>
      <c r="R19" s="1621"/>
      <c r="S19" s="1622"/>
      <c r="T19" s="1166"/>
      <c r="U19" s="1182"/>
      <c r="V19" s="1182"/>
      <c r="W19" s="1182"/>
      <c r="X19" s="1182"/>
      <c r="Y19" s="1166"/>
      <c r="Z19" s="1182"/>
      <c r="AA19" s="1182"/>
      <c r="AB19" s="1182"/>
      <c r="AC19" s="1182"/>
      <c r="AD19" s="1182"/>
      <c r="AE19" s="1182"/>
      <c r="AF19" s="1182"/>
      <c r="AG19" s="1182"/>
      <c r="AH19" s="1182"/>
      <c r="AI19" s="1182"/>
      <c r="AJ19" s="1182"/>
      <c r="AK19" s="1182"/>
      <c r="AL19" s="1182"/>
      <c r="AM19" s="1182"/>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v>5328551</v>
      </c>
      <c r="U21" s="1182"/>
      <c r="V21" s="1182"/>
      <c r="W21" s="1182"/>
      <c r="X21" s="1182"/>
      <c r="Y21" s="1166"/>
      <c r="Z21" s="1182"/>
      <c r="AA21" s="1182"/>
      <c r="AB21" s="1182"/>
      <c r="AC21" s="1182"/>
      <c r="AD21" s="1166"/>
      <c r="AE21" s="1182"/>
      <c r="AF21" s="1182"/>
      <c r="AG21" s="1182"/>
      <c r="AH21" s="1182"/>
      <c r="AI21" s="1166"/>
      <c r="AJ21" s="1182"/>
      <c r="AK21" s="1182"/>
      <c r="AL21" s="1182"/>
      <c r="AM21" s="1182"/>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30">
        <f>(ABS(T20)+ABS(T21))*-1</f>
        <v>-5328551</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2.9" customHeight="1">
      <c r="B23" s="1103" t="s">
        <v>1905</v>
      </c>
      <c r="C23" s="1104"/>
      <c r="D23" s="1104"/>
      <c r="E23" s="1104"/>
      <c r="F23" s="1104"/>
      <c r="G23" s="1104"/>
      <c r="H23" s="1104"/>
      <c r="I23" s="1104"/>
      <c r="J23" s="1104"/>
      <c r="K23" s="1104"/>
      <c r="L23" s="1104"/>
      <c r="M23" s="1104"/>
      <c r="N23" s="1104"/>
      <c r="O23" s="1104"/>
      <c r="P23" s="1104"/>
      <c r="Q23" s="1104"/>
      <c r="R23" s="1104"/>
      <c r="S23" s="1106"/>
      <c r="T23" s="1596">
        <f>T11+T22</f>
        <v>10463588</v>
      </c>
      <c r="U23" s="1297"/>
      <c r="V23" s="1297"/>
      <c r="W23" s="1297"/>
      <c r="X23" s="1297"/>
      <c r="Y23" s="1596">
        <f>Y11+Y22</f>
        <v>0</v>
      </c>
      <c r="Z23" s="1297"/>
      <c r="AA23" s="1297"/>
      <c r="AB23" s="1297"/>
      <c r="AC23" s="1297"/>
      <c r="AD23" s="1596">
        <f>IF(AD11=AD21,0,AD11)</f>
        <v>0</v>
      </c>
      <c r="AE23" s="1297"/>
      <c r="AF23" s="1297"/>
      <c r="AG23" s="1297"/>
      <c r="AH23" s="1297"/>
      <c r="AI23" s="1596">
        <f>IF(AI11=AI21,0,AI11)</f>
        <v>0</v>
      </c>
      <c r="AJ23" s="1297"/>
      <c r="AK23" s="1297"/>
      <c r="AL23" s="1297"/>
      <c r="AM23" s="1297"/>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Application!AJ1020</f>
        <v>12214604.800000001</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7" t="s">
        <v>1907</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13602664.4</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2.9"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13602664.4</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13602664.4</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610" t="s">
        <v>1906</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2.9" customHeight="1">
      <c r="B31" s="1592" t="s">
        <v>1908</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4" ht="12.9" customHeight="1">
      <c r="B36" s="204"/>
      <c r="X36" s="71"/>
      <c r="Y36" s="1599"/>
      <c r="Z36" s="1599"/>
      <c r="AA36" s="1599"/>
      <c r="AB36" s="1599"/>
      <c r="AC36" s="1599"/>
      <c r="AD36" s="1227"/>
      <c r="AE36" s="1227"/>
      <c r="AF36" s="1227"/>
      <c r="AG36" s="1227"/>
      <c r="AH36" s="122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4"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7">
        <f>IF(T24&gt;=(T23+Y23+AD23+AI23),T28+Y28,0)</f>
        <v>13602664.4</v>
      </c>
      <c r="Z38" s="1297"/>
      <c r="AA38" s="1297"/>
      <c r="AB38" s="1297"/>
      <c r="AC38" s="1297"/>
      <c r="AD38" s="1297">
        <f>IF(T24&gt;=(T23+Y23+AD23+AI23),AD28+AI28,0)</f>
        <v>0</v>
      </c>
      <c r="AE38" s="1297"/>
      <c r="AF38" s="1297"/>
      <c r="AG38" s="1297"/>
      <c r="AH38" s="1297"/>
    </row>
    <row r="39" spans="1:44" ht="12.9" customHeight="1">
      <c r="B39" s="1103" t="s">
        <v>1815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5">
        <v>0.09</v>
      </c>
      <c r="Z39" s="1595"/>
      <c r="AA39" s="1595"/>
      <c r="AB39" s="1595"/>
      <c r="AC39" s="1595"/>
      <c r="AD39" s="1595">
        <v>0.04</v>
      </c>
      <c r="AE39" s="1595"/>
      <c r="AF39" s="1595"/>
      <c r="AG39" s="1595"/>
      <c r="AH39" s="1595"/>
    </row>
    <row r="40" spans="1:44"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7">
        <f>ROUND(Y38*Y39,0)</f>
        <v>1224240</v>
      </c>
      <c r="Z40" s="1297"/>
      <c r="AA40" s="1297"/>
      <c r="AB40" s="1297"/>
      <c r="AC40" s="1297"/>
      <c r="AD40" s="1596">
        <f>ROUND(AD38*AD39,0)</f>
        <v>0</v>
      </c>
      <c r="AE40" s="1297"/>
      <c r="AF40" s="1297"/>
      <c r="AG40" s="1297"/>
      <c r="AH40" s="1297"/>
    </row>
    <row r="41" spans="1:44"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IF(Application!Y211="No",'Basis &amp; Credits'!AR42,AR43)</f>
        <v>1224240</v>
      </c>
      <c r="Z41" s="1598"/>
      <c r="AA41" s="1598"/>
      <c r="AB41" s="1598"/>
      <c r="AC41" s="1598"/>
      <c r="AD41" s="1598"/>
      <c r="AE41" s="1598"/>
      <c r="AF41" s="1598"/>
      <c r="AG41" s="1598"/>
      <c r="AH41" s="1596"/>
    </row>
    <row r="42" spans="1:44" ht="12.9" customHeight="1">
      <c r="A42" s="3"/>
      <c r="B42" s="1607" t="s">
        <v>1816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1224240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1224240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8">
        <f>'Sources and Uses Budget'!B104-(MAX(IF('Sources and Uses Budget'!B15="",0,'Sources and Uses Budget'!B15),IF(Application!AG387="",0,Application!AG387)))</f>
        <v>19824769</v>
      </c>
      <c r="AC46" s="1229"/>
      <c r="AD46" s="1229"/>
      <c r="AE46" s="1229"/>
      <c r="AF46" s="1230"/>
    </row>
    <row r="47" spans="1:44" ht="12.9" customHeight="1">
      <c r="D47" s="3" t="s">
        <v>837</v>
      </c>
      <c r="AB47" s="1228">
        <f>Application!AO633-MAX(IF('Sources and Uses Budget'!B15="",0,'Sources and Uses Budget'!B15),IF(Application!AG387="",0,Application!AG387))</f>
        <v>9235094</v>
      </c>
      <c r="AC47" s="1229"/>
      <c r="AD47" s="1229"/>
      <c r="AE47" s="1229"/>
      <c r="AF47" s="1230"/>
    </row>
    <row r="48" spans="1:44" ht="12.9" customHeight="1">
      <c r="D48" s="3" t="s">
        <v>378</v>
      </c>
      <c r="AB48" s="1228">
        <f>AB46-AB47</f>
        <v>10589675</v>
      </c>
      <c r="AC48" s="1229"/>
      <c r="AD48" s="1229"/>
      <c r="AE48" s="1229"/>
      <c r="AF48" s="1230"/>
    </row>
    <row r="49" spans="1:40" ht="12.9" customHeight="1">
      <c r="D49" s="3" t="s">
        <v>872</v>
      </c>
      <c r="AA49" s="34"/>
      <c r="AB49" s="1602">
        <v>0.86500200000000005</v>
      </c>
      <c r="AC49" s="1603"/>
      <c r="AD49" s="1603"/>
      <c r="AE49" s="1603"/>
      <c r="AF49" s="1604"/>
    </row>
    <row r="50" spans="1:40" s="323" customFormat="1" ht="12.9" customHeight="1">
      <c r="A50"/>
      <c r="B50"/>
      <c r="C50"/>
      <c r="D50"/>
      <c r="E50" s="1609" t="s">
        <v>1951</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8">
        <f>ROUND(IF(ISERROR((AB48/AB49)),0,(AB48/AB49)),0)</f>
        <v>12242371</v>
      </c>
      <c r="AC53" s="1229"/>
      <c r="AD53" s="1229"/>
      <c r="AE53" s="1229"/>
      <c r="AF53" s="1230"/>
    </row>
    <row r="54" spans="1:40" ht="12.9" customHeight="1">
      <c r="D54" s="3" t="s">
        <v>561</v>
      </c>
      <c r="AB54" s="1228">
        <f>(AB53/10)</f>
        <v>1224237.1000000001</v>
      </c>
      <c r="AC54" s="1229"/>
      <c r="AD54" s="1229"/>
      <c r="AE54" s="1229"/>
      <c r="AF54" s="1230"/>
    </row>
    <row r="55" spans="1:40" ht="12.9" customHeight="1">
      <c r="D55" s="3" t="s">
        <v>341</v>
      </c>
      <c r="AB55" s="1228">
        <f>(IF((Y41&lt;AB54),Y41,AB54))</f>
        <v>1224237.1000000001</v>
      </c>
      <c r="AC55" s="1229"/>
      <c r="AD55" s="1229"/>
      <c r="AE55" s="1229"/>
      <c r="AF55" s="1230"/>
    </row>
    <row r="56" spans="1:40" ht="12.9" customHeight="1">
      <c r="D56" s="3" t="s">
        <v>107</v>
      </c>
      <c r="AB56" s="1228">
        <f>ROUND((10*AB55*AB49),0)</f>
        <v>10589675</v>
      </c>
      <c r="AC56" s="1229"/>
      <c r="AD56" s="1229"/>
      <c r="AE56" s="1229"/>
      <c r="AF56" s="1230"/>
    </row>
    <row r="57" spans="1:40" ht="12.9" customHeight="1">
      <c r="D57" s="3"/>
      <c r="AB57" s="276"/>
      <c r="AC57" s="276"/>
      <c r="AD57" s="276"/>
      <c r="AE57" s="276"/>
      <c r="AF57" s="276"/>
    </row>
    <row r="58" spans="1:40" ht="12.9" customHeight="1">
      <c r="D58" s="3" t="s">
        <v>106</v>
      </c>
      <c r="AB58" s="1301">
        <f>AB48-AB56</f>
        <v>0</v>
      </c>
      <c r="AC58" s="1301"/>
      <c r="AD58" s="1301"/>
      <c r="AE58" s="1301"/>
      <c r="AF58" s="1301"/>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297">
        <f>IF(AND(T25=1.3,Application!D214="At-Risk"),AI28,IF(Application!D214&lt;&gt;"At-Risk",0,AD28))</f>
        <v>0</v>
      </c>
      <c r="AE63" s="1605"/>
      <c r="AF63" s="1605"/>
      <c r="AG63" s="1605"/>
      <c r="AH63" s="1605"/>
    </row>
    <row r="64" spans="1:40" ht="12.9"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 customHeight="1">
      <c r="C67" s="3"/>
      <c r="D67" s="3" t="s">
        <v>941</v>
      </c>
      <c r="Y67" s="1297">
        <f>ROUND(Y63*Y66,0)</f>
        <v>0</v>
      </c>
      <c r="Z67" s="1605"/>
      <c r="AA67" s="1605"/>
      <c r="AB67" s="1605"/>
      <c r="AC67" s="1605"/>
      <c r="AD67" s="1297" t="str">
        <f>IF(OR(Application!D211="At-Risk",Application!D211="At-Risk/Located in Rural Census Tract",Application!D214="At-Risk"),ROUND(AD63*AD66,0),"$0")</f>
        <v>$0</v>
      </c>
      <c r="AE67" s="1297"/>
      <c r="AF67" s="1297"/>
      <c r="AG67" s="1297"/>
      <c r="AH67" s="1297"/>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2"/>
      <c r="AC70" s="1603"/>
      <c r="AD70" s="1603"/>
      <c r="AE70" s="1603"/>
      <c r="AF70" s="1604"/>
    </row>
    <row r="71" spans="1:34" ht="12.9" customHeight="1">
      <c r="A71" s="3"/>
      <c r="C71" s="3"/>
      <c r="D71" s="3"/>
      <c r="E71" s="1606" t="s">
        <v>2248</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8">
        <f>ROUND(IF(ISERROR((AB58/AB70)),0,(AB58/AB70)),0)</f>
        <v>0</v>
      </c>
      <c r="AC75" s="1278"/>
      <c r="AD75" s="1278"/>
      <c r="AE75" s="1278"/>
      <c r="AF75" s="1278"/>
    </row>
    <row r="76" spans="1:34" ht="12.9" customHeight="1">
      <c r="C76" s="3"/>
      <c r="D76" s="3" t="s">
        <v>105</v>
      </c>
      <c r="AB76" s="1176">
        <f>IF((Y67+AD67&lt;AB75),Y67+AD67,AB75)</f>
        <v>0</v>
      </c>
      <c r="AC76" s="1177"/>
      <c r="AD76" s="1177"/>
      <c r="AE76" s="1177"/>
      <c r="AF76" s="1178"/>
    </row>
    <row r="77" spans="1:34" ht="12.9" customHeight="1">
      <c r="C77" s="3"/>
      <c r="D77" s="3" t="s">
        <v>942</v>
      </c>
      <c r="AB77" s="1600">
        <f>AB76*AB70</f>
        <v>0</v>
      </c>
      <c r="AC77" s="1600"/>
      <c r="AD77" s="1600"/>
      <c r="AE77" s="1600"/>
      <c r="AF77" s="1600"/>
    </row>
    <row r="78" spans="1:34" ht="12.9" customHeight="1">
      <c r="C78" s="3"/>
      <c r="D78" s="3"/>
      <c r="AB78" s="598"/>
      <c r="AC78" s="598"/>
      <c r="AD78" s="598"/>
      <c r="AE78" s="598"/>
      <c r="AF78" s="598"/>
    </row>
    <row r="79" spans="1:34" ht="12.9" customHeight="1">
      <c r="D79" s="3" t="s">
        <v>106</v>
      </c>
      <c r="AB79" s="1301">
        <f>AB48-(AB56+AB77)</f>
        <v>0</v>
      </c>
      <c r="AC79" s="1301"/>
      <c r="AD79" s="1301"/>
      <c r="AE79" s="1301"/>
      <c r="AF79" s="1301"/>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7" workbookViewId="0">
      <selection activeCell="F97" sqref="F9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3" t="s">
        <v>1823</v>
      </c>
      <c r="B1" s="1644"/>
      <c r="C1" s="1644"/>
      <c r="D1" s="1644"/>
      <c r="E1" s="1644"/>
      <c r="F1" s="1644"/>
      <c r="G1" s="1644"/>
      <c r="H1" s="1644"/>
      <c r="I1" s="1644"/>
      <c r="J1" s="1645"/>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553500</v>
      </c>
      <c r="C4" s="585">
        <f>+B4</f>
        <v>553500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553500</v>
      </c>
      <c r="C8" s="584">
        <f>SUM(C4:C7)</f>
        <v>553500</v>
      </c>
      <c r="D8" s="584">
        <f>SUM(D4:D7)</f>
        <v>0</v>
      </c>
      <c r="E8" s="586"/>
      <c r="F8" s="586"/>
      <c r="G8" s="586"/>
      <c r="H8" s="586"/>
      <c r="I8" s="586"/>
      <c r="J8" s="586"/>
      <c r="K8" s="579"/>
    </row>
    <row r="9" spans="1:11" s="253" customFormat="1" ht="11.4">
      <c r="A9" s="239" t="s">
        <v>1720</v>
      </c>
      <c r="B9" s="584">
        <f>'Sources and Uses Budget'!C9</f>
        <v>2871500</v>
      </c>
      <c r="C9" s="585">
        <f>+B9</f>
        <v>2871500</v>
      </c>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2871500</v>
      </c>
      <c r="C11" s="584">
        <f>SUM(C9:C10)</f>
        <v>2871500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3425000</v>
      </c>
      <c r="C12" s="584">
        <f>SUM(C8+C11)</f>
        <v>3425000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1200000</v>
      </c>
      <c r="C28" s="585">
        <f>+B28</f>
        <v>1200000</v>
      </c>
      <c r="D28" s="585"/>
      <c r="E28" s="584">
        <f>'Sources and Uses Budget'!S29</f>
        <v>1200000</v>
      </c>
      <c r="F28" s="585">
        <f t="shared" ref="F28:F36" si="0">+E28</f>
        <v>1200000</v>
      </c>
      <c r="G28" s="585"/>
      <c r="H28" s="584">
        <f>'Sources and Uses Budget'!T29</f>
        <v>0</v>
      </c>
      <c r="I28" s="585"/>
      <c r="J28" s="585"/>
      <c r="K28" s="579"/>
    </row>
    <row r="29" spans="1:11" s="253" customFormat="1" ht="11.4">
      <c r="A29" s="239" t="s">
        <v>911</v>
      </c>
      <c r="B29" s="584">
        <f>'Sources and Uses Budget'!C30</f>
        <v>4804300</v>
      </c>
      <c r="C29" s="585">
        <f t="shared" ref="C29:C36" si="1">+B29</f>
        <v>4804300</v>
      </c>
      <c r="D29" s="585"/>
      <c r="E29" s="584">
        <f>'Sources and Uses Budget'!S30</f>
        <v>4804300</v>
      </c>
      <c r="F29" s="585">
        <f t="shared" si="0"/>
        <v>4804300</v>
      </c>
      <c r="G29" s="585"/>
      <c r="H29" s="584">
        <f>'Sources and Uses Budget'!T30</f>
        <v>0</v>
      </c>
      <c r="I29" s="585"/>
      <c r="J29" s="585"/>
      <c r="K29" s="579"/>
    </row>
    <row r="30" spans="1:11" s="253" customFormat="1" ht="11.4">
      <c r="A30" s="239" t="s">
        <v>912</v>
      </c>
      <c r="B30" s="584">
        <f>'Sources and Uses Budget'!C31</f>
        <v>360258</v>
      </c>
      <c r="C30" s="585">
        <f t="shared" si="1"/>
        <v>360258</v>
      </c>
      <c r="D30" s="585"/>
      <c r="E30" s="584">
        <f>'Sources and Uses Budget'!S31</f>
        <v>360258</v>
      </c>
      <c r="F30" s="585">
        <f t="shared" si="0"/>
        <v>360258</v>
      </c>
      <c r="G30" s="585"/>
      <c r="H30" s="584">
        <f>'Sources and Uses Budget'!T31</f>
        <v>0</v>
      </c>
      <c r="I30" s="585"/>
      <c r="J30" s="585"/>
      <c r="K30" s="579"/>
    </row>
    <row r="31" spans="1:11" s="253" customFormat="1" ht="11.4">
      <c r="A31" s="239" t="s">
        <v>913</v>
      </c>
      <c r="B31" s="584">
        <f>'Sources and Uses Budget'!C32</f>
        <v>127291</v>
      </c>
      <c r="C31" s="585">
        <f t="shared" si="1"/>
        <v>127291</v>
      </c>
      <c r="D31" s="585"/>
      <c r="E31" s="584">
        <f>'Sources and Uses Budget'!S32</f>
        <v>127291</v>
      </c>
      <c r="F31" s="585">
        <f t="shared" si="0"/>
        <v>127291</v>
      </c>
      <c r="G31" s="585"/>
      <c r="H31" s="584">
        <f>'Sources and Uses Budget'!T32</f>
        <v>0</v>
      </c>
      <c r="I31" s="585"/>
      <c r="J31" s="585"/>
      <c r="K31" s="579"/>
    </row>
    <row r="32" spans="1:11" s="253" customFormat="1" ht="11.4">
      <c r="A32" s="239" t="s">
        <v>914</v>
      </c>
      <c r="B32" s="584">
        <f>'Sources and Uses Budget'!C33</f>
        <v>381873</v>
      </c>
      <c r="C32" s="585">
        <f t="shared" si="1"/>
        <v>381873</v>
      </c>
      <c r="D32" s="585"/>
      <c r="E32" s="584">
        <f>'Sources and Uses Budget'!S33</f>
        <v>381873</v>
      </c>
      <c r="F32" s="585">
        <f t="shared" si="0"/>
        <v>381873</v>
      </c>
      <c r="G32" s="585"/>
      <c r="H32" s="584">
        <f>'Sources and Uses Budget'!T33</f>
        <v>0</v>
      </c>
      <c r="I32" s="585"/>
      <c r="J32" s="585"/>
      <c r="K32" s="579"/>
    </row>
    <row r="33" spans="1:11" s="253" customFormat="1" ht="11.4">
      <c r="A33" s="239" t="s">
        <v>915</v>
      </c>
      <c r="B33" s="584">
        <f>'Sources and Uses Budget'!C34</f>
        <v>0</v>
      </c>
      <c r="C33" s="585">
        <f t="shared" si="1"/>
        <v>0</v>
      </c>
      <c r="D33" s="585"/>
      <c r="E33" s="584">
        <f>'Sources and Uses Budget'!S34</f>
        <v>0</v>
      </c>
      <c r="F33" s="585">
        <f t="shared" si="0"/>
        <v>0</v>
      </c>
      <c r="G33" s="585"/>
      <c r="H33" s="584">
        <f>'Sources and Uses Budget'!T34</f>
        <v>0</v>
      </c>
      <c r="I33" s="585"/>
      <c r="J33" s="585"/>
      <c r="K33" s="579"/>
    </row>
    <row r="34" spans="1:11" s="253" customFormat="1" ht="11.4">
      <c r="A34" s="239" t="s">
        <v>916</v>
      </c>
      <c r="B34" s="584">
        <f>'Sources and Uses Budget'!C35</f>
        <v>206212</v>
      </c>
      <c r="C34" s="585">
        <f t="shared" si="1"/>
        <v>206212</v>
      </c>
      <c r="D34" s="585"/>
      <c r="E34" s="584">
        <f>'Sources and Uses Budget'!S35</f>
        <v>206212</v>
      </c>
      <c r="F34" s="585">
        <f t="shared" si="0"/>
        <v>206212</v>
      </c>
      <c r="G34" s="585"/>
      <c r="H34" s="584">
        <f>'Sources and Uses Budget'!T35</f>
        <v>0</v>
      </c>
      <c r="I34" s="585"/>
      <c r="J34" s="585"/>
      <c r="K34" s="579"/>
    </row>
    <row r="35" spans="1:11" s="253" customFormat="1" ht="11.4">
      <c r="A35" s="239" t="str">
        <f>'Sources and Uses Budget'!$A36</f>
        <v>Third-party Construction Management</v>
      </c>
      <c r="B35" s="584">
        <f>'Sources and Uses Budget'!C36</f>
        <v>400000</v>
      </c>
      <c r="C35" s="585">
        <f t="shared" si="1"/>
        <v>400000</v>
      </c>
      <c r="D35" s="585"/>
      <c r="E35" s="584">
        <f>'Sources and Uses Budget'!S36</f>
        <v>400000</v>
      </c>
      <c r="F35" s="585">
        <f t="shared" si="0"/>
        <v>400000</v>
      </c>
      <c r="G35" s="585"/>
      <c r="H35" s="584">
        <f>'Sources and Uses Budget'!T36</f>
        <v>0</v>
      </c>
      <c r="I35" s="585"/>
      <c r="J35" s="585"/>
      <c r="K35" s="579"/>
    </row>
    <row r="36" spans="1:11" s="253" customFormat="1" ht="11.4">
      <c r="A36" s="239" t="str">
        <f>'Sources and Uses Budget'!$A37</f>
        <v>Modulars</v>
      </c>
      <c r="B36" s="584">
        <f>'Sources and Uses Budget'!C37</f>
        <v>2259396</v>
      </c>
      <c r="C36" s="585">
        <f t="shared" si="1"/>
        <v>2259396</v>
      </c>
      <c r="D36" s="585"/>
      <c r="E36" s="584">
        <f>'Sources and Uses Budget'!S37</f>
        <v>2259396</v>
      </c>
      <c r="F36" s="585">
        <f t="shared" si="0"/>
        <v>2259396</v>
      </c>
      <c r="G36" s="585"/>
      <c r="H36" s="584">
        <f>'Sources and Uses Budget'!T37</f>
        <v>0</v>
      </c>
      <c r="I36" s="585"/>
      <c r="J36" s="585"/>
      <c r="K36" s="579"/>
    </row>
    <row r="37" spans="1:11" s="253" customFormat="1">
      <c r="A37" s="243" t="s">
        <v>919</v>
      </c>
      <c r="B37" s="584">
        <f>'Sources and Uses Budget'!C38</f>
        <v>9739330</v>
      </c>
      <c r="C37" s="584">
        <f>SUM(C28:C36)</f>
        <v>9739330</v>
      </c>
      <c r="D37" s="584">
        <f>SUM(D28:D36)</f>
        <v>0</v>
      </c>
      <c r="E37" s="584">
        <f>'Sources and Uses Budget'!S38</f>
        <v>9739330</v>
      </c>
      <c r="F37" s="587">
        <f>SUM(F28:F36)</f>
        <v>9739330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500000</v>
      </c>
      <c r="C39" s="585">
        <f t="shared" ref="C39:C40" si="2">+B39</f>
        <v>500000</v>
      </c>
      <c r="D39" s="585"/>
      <c r="E39" s="584">
        <f>'Sources and Uses Budget'!S40</f>
        <v>500000</v>
      </c>
      <c r="F39" s="585">
        <f t="shared" ref="F39:F40" si="3">+E39</f>
        <v>500000</v>
      </c>
      <c r="G39" s="585"/>
      <c r="H39" s="584">
        <f>'Sources and Uses Budget'!T40</f>
        <v>0</v>
      </c>
      <c r="I39" s="585"/>
      <c r="J39" s="585"/>
      <c r="K39" s="579"/>
    </row>
    <row r="40" spans="1:11" s="253" customFormat="1" ht="11.4">
      <c r="A40" s="239" t="s">
        <v>922</v>
      </c>
      <c r="B40" s="584">
        <f>'Sources and Uses Budget'!C41</f>
        <v>100000</v>
      </c>
      <c r="C40" s="585">
        <f t="shared" si="2"/>
        <v>100000</v>
      </c>
      <c r="D40" s="585"/>
      <c r="E40" s="584">
        <f>'Sources and Uses Budget'!S41</f>
        <v>100000</v>
      </c>
      <c r="F40" s="585">
        <f t="shared" si="3"/>
        <v>100000</v>
      </c>
      <c r="G40" s="585"/>
      <c r="H40" s="584">
        <f>'Sources and Uses Budget'!T41</f>
        <v>0</v>
      </c>
      <c r="I40" s="585"/>
      <c r="J40" s="585"/>
      <c r="K40" s="579"/>
    </row>
    <row r="41" spans="1:11" s="253" customFormat="1">
      <c r="A41" s="243" t="s">
        <v>923</v>
      </c>
      <c r="B41" s="584">
        <f>'Sources and Uses Budget'!C42</f>
        <v>600000</v>
      </c>
      <c r="C41" s="584">
        <f>SUM(C38:C40)</f>
        <v>600000</v>
      </c>
      <c r="D41" s="584">
        <f>SUM(D38:D40)</f>
        <v>0</v>
      </c>
      <c r="E41" s="584">
        <f>'Sources and Uses Budget'!S42</f>
        <v>600000</v>
      </c>
      <c r="F41" s="587">
        <f>SUM(F39:F40)</f>
        <v>600000</v>
      </c>
      <c r="G41" s="587">
        <f>SUM(G39:G40)</f>
        <v>0</v>
      </c>
      <c r="H41" s="584">
        <f>'Sources and Uses Budget'!T42</f>
        <v>0</v>
      </c>
      <c r="I41" s="587">
        <f>SUM(I39:I40)</f>
        <v>0</v>
      </c>
      <c r="J41" s="587">
        <f>SUM(J39:J40)</f>
        <v>0</v>
      </c>
      <c r="K41" s="579"/>
    </row>
    <row r="42" spans="1:11" s="253" customFormat="1">
      <c r="A42" s="243" t="s">
        <v>924</v>
      </c>
      <c r="B42" s="584">
        <f>'Sources and Uses Budget'!C43</f>
        <v>450000</v>
      </c>
      <c r="C42" s="585">
        <f>+B42</f>
        <v>450000</v>
      </c>
      <c r="D42" s="585"/>
      <c r="E42" s="584">
        <f>'Sources and Uses Budget'!S43</f>
        <v>450000</v>
      </c>
      <c r="F42" s="585">
        <f>+E42</f>
        <v>450000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496944</v>
      </c>
      <c r="C44" s="585">
        <f t="shared" ref="C44:C51" si="4">+B44</f>
        <v>496944</v>
      </c>
      <c r="D44" s="585"/>
      <c r="E44" s="584">
        <f>'Sources and Uses Budget'!S45</f>
        <v>272963</v>
      </c>
      <c r="F44" s="585">
        <f t="shared" ref="F44:F51" si="5">+E44</f>
        <v>272963</v>
      </c>
      <c r="G44" s="585"/>
      <c r="H44" s="584">
        <f>'Sources and Uses Budget'!T45</f>
        <v>0</v>
      </c>
      <c r="I44" s="585"/>
      <c r="J44" s="585"/>
      <c r="K44" s="579"/>
    </row>
    <row r="45" spans="1:11" s="253" customFormat="1" ht="11.4">
      <c r="A45" s="239" t="s">
        <v>927</v>
      </c>
      <c r="B45" s="584">
        <f>'Sources and Uses Budget'!C46</f>
        <v>91421</v>
      </c>
      <c r="C45" s="585">
        <f t="shared" si="4"/>
        <v>91421</v>
      </c>
      <c r="D45" s="585"/>
      <c r="E45" s="584">
        <f>'Sources and Uses Budget'!S46</f>
        <v>91421</v>
      </c>
      <c r="F45" s="585">
        <f t="shared" si="5"/>
        <v>91421</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ht="11.4">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ht="11.4">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ht="11.4">
      <c r="A49" s="239" t="s">
        <v>930</v>
      </c>
      <c r="B49" s="584">
        <f>'Sources and Uses Budget'!C50</f>
        <v>11070</v>
      </c>
      <c r="C49" s="585">
        <f t="shared" si="4"/>
        <v>11070</v>
      </c>
      <c r="D49" s="585"/>
      <c r="E49" s="584">
        <f>'Sources and Uses Budget'!S50</f>
        <v>11070</v>
      </c>
      <c r="F49" s="585">
        <f t="shared" si="5"/>
        <v>11070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694435</v>
      </c>
      <c r="C52" s="587">
        <f>SUM(C44:C51)</f>
        <v>694435</v>
      </c>
      <c r="D52" s="587">
        <f>SUM(D44:D51)</f>
        <v>0</v>
      </c>
      <c r="E52" s="584">
        <f>'Sources and Uses Budget'!S53</f>
        <v>470454</v>
      </c>
      <c r="F52" s="587">
        <f>SUM(F44:F51)</f>
        <v>470454</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6" si="6">+B55</f>
        <v>10000</v>
      </c>
      <c r="D55" s="585"/>
      <c r="E55" s="586"/>
      <c r="F55" s="586"/>
      <c r="G55" s="586"/>
      <c r="H55" s="586"/>
      <c r="I55" s="586"/>
      <c r="J55" s="586"/>
      <c r="K55" s="579"/>
    </row>
    <row r="56" spans="1:11" s="253" customFormat="1" ht="11.4">
      <c r="A56" s="239" t="s">
        <v>932</v>
      </c>
      <c r="B56" s="584">
        <f>'Sources and Uses Budget'!C57</f>
        <v>5000</v>
      </c>
      <c r="C56" s="585">
        <f t="shared" si="6"/>
        <v>5000</v>
      </c>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14923765</v>
      </c>
      <c r="C61" s="584">
        <f>SUM(C8+C11+C13+C14+C15+C25+C26+C37+C41+C42+C52+C60)</f>
        <v>14923765</v>
      </c>
      <c r="D61" s="584">
        <f>SUM(D8+D11+D13+D14+D15+D25+D26+D37+D41+D42+D52+D60)</f>
        <v>0</v>
      </c>
      <c r="E61" s="584">
        <f>'Sources and Uses Budget'!S62</f>
        <v>11259784</v>
      </c>
      <c r="F61" s="584">
        <f>SUM(F10+F13+F14+F15+F25+F26+F37+F41+F42+F52)</f>
        <v>11259784</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f t="shared" ref="C63:C67" si="7">+B63</f>
        <v>65000</v>
      </c>
      <c r="D63" s="585"/>
      <c r="E63" s="584">
        <f>'Sources and Uses Budget'!S64</f>
        <v>65000</v>
      </c>
      <c r="F63" s="585">
        <f t="shared" ref="F63:F67" si="8">+E63</f>
        <v>65000</v>
      </c>
      <c r="G63" s="585"/>
      <c r="H63" s="584">
        <f>'Sources and Uses Budget'!T64</f>
        <v>0</v>
      </c>
      <c r="I63" s="585"/>
      <c r="J63" s="585"/>
      <c r="K63" s="579"/>
    </row>
    <row r="64" spans="1:11" s="253" customFormat="1" ht="22.8">
      <c r="A64" s="239" t="s">
        <v>1954</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2.8">
      <c r="A65" s="239" t="s">
        <v>1955</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ht="11.4">
      <c r="A66" s="239" t="s">
        <v>1956</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1957</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4" si="9">+B70</f>
        <v>30000</v>
      </c>
      <c r="D70" s="585"/>
      <c r="E70" s="586"/>
      <c r="F70" s="586"/>
      <c r="G70" s="586"/>
      <c r="H70" s="586"/>
      <c r="I70" s="586"/>
      <c r="J70" s="586"/>
      <c r="K70" s="579"/>
    </row>
    <row r="71" spans="1:11" s="253" customFormat="1" ht="11.4">
      <c r="A71" s="239" t="s">
        <v>287</v>
      </c>
      <c r="B71" s="584">
        <f>'Sources and Uses Budget'!C72</f>
        <v>0</v>
      </c>
      <c r="C71" s="585">
        <f t="shared" si="9"/>
        <v>0</v>
      </c>
      <c r="D71" s="585"/>
      <c r="E71" s="586"/>
      <c r="F71" s="586"/>
      <c r="G71" s="586"/>
      <c r="H71" s="586"/>
      <c r="I71" s="586"/>
      <c r="J71" s="586"/>
      <c r="K71" s="579"/>
    </row>
    <row r="72" spans="1:11" s="253" customFormat="1" ht="11.4">
      <c r="A72" s="456" t="s">
        <v>1239</v>
      </c>
      <c r="B72" s="584">
        <f>'Sources and Uses Budget'!C73</f>
        <v>0</v>
      </c>
      <c r="C72" s="585">
        <f t="shared" si="9"/>
        <v>0</v>
      </c>
      <c r="D72" s="585"/>
      <c r="E72" s="586"/>
      <c r="F72" s="586"/>
      <c r="G72" s="586"/>
      <c r="H72" s="586"/>
      <c r="I72" s="586"/>
      <c r="J72" s="586"/>
      <c r="K72" s="579"/>
    </row>
    <row r="73" spans="1:11" s="253" customFormat="1" ht="11.4">
      <c r="A73" s="239" t="s">
        <v>288</v>
      </c>
      <c r="B73" s="584">
        <f>'Sources and Uses Budget'!C74</f>
        <v>100158</v>
      </c>
      <c r="C73" s="585">
        <f t="shared" si="9"/>
        <v>100158</v>
      </c>
      <c r="D73" s="585"/>
      <c r="E73" s="586"/>
      <c r="F73" s="586"/>
      <c r="G73" s="586"/>
      <c r="H73" s="586"/>
      <c r="I73" s="586"/>
      <c r="J73" s="586"/>
      <c r="K73" s="579"/>
    </row>
    <row r="74" spans="1:11" s="253" customFormat="1" ht="11.4">
      <c r="A74" s="239" t="str">
        <f>'Sources and Uses Budget'!$A75</f>
        <v>Other: (Specify)</v>
      </c>
      <c r="B74" s="584">
        <f>'Sources and Uses Budget'!C75</f>
        <v>0</v>
      </c>
      <c r="C74" s="585">
        <f t="shared" si="9"/>
        <v>0</v>
      </c>
      <c r="D74" s="585"/>
      <c r="E74" s="586"/>
      <c r="F74" s="586"/>
      <c r="G74" s="586"/>
      <c r="H74" s="586"/>
      <c r="I74" s="586"/>
      <c r="J74" s="586"/>
      <c r="K74" s="579"/>
    </row>
    <row r="75" spans="1:11" s="253" customFormat="1">
      <c r="A75" s="243" t="s">
        <v>289</v>
      </c>
      <c r="B75" s="584">
        <f>'Sources and Uses Budget'!C76</f>
        <v>130158</v>
      </c>
      <c r="C75" s="584">
        <f>SUM(C70:C74)</f>
        <v>130158</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881990</v>
      </c>
      <c r="C77" s="585">
        <f t="shared" ref="C77:C78" si="10">+B77</f>
        <v>881990</v>
      </c>
      <c r="D77" s="585"/>
      <c r="E77" s="584">
        <f>'Sources and Uses Budget'!S78</f>
        <v>881990</v>
      </c>
      <c r="F77" s="585">
        <f t="shared" ref="F77:F78" si="11">+E77</f>
        <v>881990</v>
      </c>
      <c r="G77" s="585"/>
      <c r="H77" s="584">
        <f>'Sources and Uses Budget'!T78</f>
        <v>0</v>
      </c>
      <c r="I77" s="585"/>
      <c r="J77" s="585"/>
      <c r="K77" s="579"/>
    </row>
    <row r="78" spans="1:11" s="253" customFormat="1" ht="11.4">
      <c r="A78" s="239" t="s">
        <v>538</v>
      </c>
      <c r="B78" s="584">
        <f>'Sources and Uses Budget'!C79</f>
        <v>125990</v>
      </c>
      <c r="C78" s="585">
        <f t="shared" si="10"/>
        <v>125990</v>
      </c>
      <c r="D78" s="585"/>
      <c r="E78" s="584">
        <f>'Sources and Uses Budget'!S79</f>
        <v>125990</v>
      </c>
      <c r="F78" s="585">
        <f t="shared" si="11"/>
        <v>125990</v>
      </c>
      <c r="G78" s="585"/>
      <c r="H78" s="584">
        <f>'Sources and Uses Budget'!T79</f>
        <v>0</v>
      </c>
      <c r="I78" s="585"/>
      <c r="J78" s="585"/>
      <c r="K78" s="579"/>
    </row>
    <row r="79" spans="1:11" s="253" customFormat="1">
      <c r="A79" s="243" t="s">
        <v>1742</v>
      </c>
      <c r="B79" s="584">
        <f>'Sources and Uses Budget'!C80</f>
        <v>1007980</v>
      </c>
      <c r="C79" s="667">
        <f>SUM(C77:C78)</f>
        <v>1007980</v>
      </c>
      <c r="D79" s="667">
        <f>SUM(D77:D78)</f>
        <v>0</v>
      </c>
      <c r="E79" s="584">
        <f>'Sources and Uses Budget'!S80</f>
        <v>1007980</v>
      </c>
      <c r="F79" s="667">
        <f>SUM(F77:F78)</f>
        <v>1007980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52969</v>
      </c>
      <c r="C81" s="585">
        <f t="shared" ref="C81:C93" si="12">+B81</f>
        <v>52969</v>
      </c>
      <c r="D81" s="585"/>
      <c r="E81" s="586"/>
      <c r="F81" s="586"/>
      <c r="G81" s="586"/>
      <c r="H81" s="586"/>
      <c r="I81" s="586"/>
      <c r="J81" s="586"/>
      <c r="K81" s="579"/>
    </row>
    <row r="82" spans="1:11" s="253" customFormat="1" ht="11.4">
      <c r="A82" s="239" t="s">
        <v>516</v>
      </c>
      <c r="B82" s="584">
        <f>'Sources and Uses Budget'!C83</f>
        <v>7000</v>
      </c>
      <c r="C82" s="585">
        <f t="shared" si="12"/>
        <v>7000</v>
      </c>
      <c r="D82" s="585"/>
      <c r="E82" s="584">
        <f>'Sources and Uses Budget'!S83</f>
        <v>7000</v>
      </c>
      <c r="F82" s="585">
        <f t="shared" ref="F82:F85" si="13">+E82</f>
        <v>7000</v>
      </c>
      <c r="G82" s="585"/>
      <c r="H82" s="584">
        <f>'Sources and Uses Budget'!T83</f>
        <v>0</v>
      </c>
      <c r="I82" s="585"/>
      <c r="J82" s="585"/>
      <c r="K82" s="579"/>
    </row>
    <row r="83" spans="1:11" s="253" customFormat="1" ht="11.4">
      <c r="A83" s="239" t="s">
        <v>517</v>
      </c>
      <c r="B83" s="584">
        <f>'Sources and Uses Budget'!C84</f>
        <v>0</v>
      </c>
      <c r="C83" s="585">
        <f t="shared" si="12"/>
        <v>0</v>
      </c>
      <c r="D83" s="585"/>
      <c r="E83" s="584">
        <f>'Sources and Uses Budget'!S84</f>
        <v>0</v>
      </c>
      <c r="F83" s="585">
        <f t="shared" si="13"/>
        <v>0</v>
      </c>
      <c r="G83" s="585"/>
      <c r="H83" s="584">
        <f>'Sources and Uses Budget'!T84</f>
        <v>0</v>
      </c>
      <c r="I83" s="585"/>
      <c r="J83" s="585"/>
      <c r="K83" s="579"/>
    </row>
    <row r="84" spans="1:11" s="253" customFormat="1" ht="11.4">
      <c r="A84" s="239" t="s">
        <v>518</v>
      </c>
      <c r="B84" s="584">
        <f>'Sources and Uses Budget'!C85</f>
        <v>1000000</v>
      </c>
      <c r="C84" s="585">
        <f t="shared" si="12"/>
        <v>1000000</v>
      </c>
      <c r="D84" s="585"/>
      <c r="E84" s="584">
        <f>'Sources and Uses Budget'!S85</f>
        <v>1000000</v>
      </c>
      <c r="F84" s="585">
        <f t="shared" si="13"/>
        <v>1000000</v>
      </c>
      <c r="G84" s="585"/>
      <c r="H84" s="584">
        <f>'Sources and Uses Budget'!T85</f>
        <v>0</v>
      </c>
      <c r="I84" s="585"/>
      <c r="J84" s="585"/>
      <c r="K84" s="579"/>
    </row>
    <row r="85" spans="1:11" s="253" customFormat="1" ht="11.4">
      <c r="A85" s="239" t="s">
        <v>519</v>
      </c>
      <c r="B85" s="584">
        <f>'Sources and Uses Budget'!C86</f>
        <v>40000</v>
      </c>
      <c r="C85" s="585">
        <f t="shared" si="12"/>
        <v>40000</v>
      </c>
      <c r="D85" s="585"/>
      <c r="E85" s="584">
        <f>'Sources and Uses Budget'!S86</f>
        <v>0</v>
      </c>
      <c r="F85" s="585">
        <f t="shared" si="13"/>
        <v>0</v>
      </c>
      <c r="G85" s="585"/>
      <c r="H85" s="584">
        <f>'Sources and Uses Budget'!T86</f>
        <v>0</v>
      </c>
      <c r="I85" s="585"/>
      <c r="J85" s="585"/>
      <c r="K85" s="579"/>
    </row>
    <row r="86" spans="1:11" s="253" customFormat="1" ht="11.4">
      <c r="A86" s="239" t="s">
        <v>520</v>
      </c>
      <c r="B86" s="584">
        <f>'Sources and Uses Budget'!C87</f>
        <v>45522</v>
      </c>
      <c r="C86" s="585">
        <f t="shared" si="12"/>
        <v>45522</v>
      </c>
      <c r="D86" s="585"/>
      <c r="E86" s="586"/>
      <c r="F86" s="586"/>
      <c r="G86" s="586"/>
      <c r="H86" s="586"/>
      <c r="I86" s="586"/>
      <c r="J86" s="586"/>
      <c r="K86" s="579"/>
    </row>
    <row r="87" spans="1:11" s="253" customFormat="1" ht="11.4">
      <c r="A87" s="239" t="s">
        <v>521</v>
      </c>
      <c r="B87" s="584">
        <f>'Sources and Uses Budget'!C88</f>
        <v>40000</v>
      </c>
      <c r="C87" s="585">
        <f t="shared" si="12"/>
        <v>40000</v>
      </c>
      <c r="D87" s="585"/>
      <c r="E87" s="584">
        <f>'Sources and Uses Budget'!S88</f>
        <v>40000</v>
      </c>
      <c r="F87" s="585">
        <f t="shared" ref="F87:F93" si="14">+E87</f>
        <v>40000</v>
      </c>
      <c r="G87" s="585"/>
      <c r="H87" s="584">
        <f>'Sources and Uses Budget'!T88</f>
        <v>0</v>
      </c>
      <c r="I87" s="585"/>
      <c r="J87" s="585"/>
      <c r="K87" s="579"/>
    </row>
    <row r="88" spans="1:11" s="253" customFormat="1" ht="11.4">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ht="11.4">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ht="11.4">
      <c r="A90" s="239" t="s">
        <v>1740</v>
      </c>
      <c r="B90" s="584">
        <f>'Sources and Uses Budget'!C91</f>
        <v>10000</v>
      </c>
      <c r="C90" s="585">
        <f t="shared" si="12"/>
        <v>10000</v>
      </c>
      <c r="D90" s="585"/>
      <c r="E90" s="584">
        <f>'Sources and Uses Budget'!S91</f>
        <v>10000</v>
      </c>
      <c r="F90" s="585">
        <f t="shared" si="14"/>
        <v>10000</v>
      </c>
      <c r="G90" s="585"/>
      <c r="H90" s="584">
        <f>'Sources and Uses Budget'!T91</f>
        <v>0</v>
      </c>
      <c r="I90" s="585"/>
      <c r="J90" s="585"/>
      <c r="K90" s="579"/>
    </row>
    <row r="91" spans="1:11" s="253" customFormat="1" ht="11.4">
      <c r="A91" s="239" t="str">
        <f>'Sources and Uses Budget'!$A92</f>
        <v>Predevelopment Interest/Holding Cost</v>
      </c>
      <c r="B91" s="584">
        <f>'Sources and Uses Budget'!C92</f>
        <v>43530</v>
      </c>
      <c r="C91" s="585">
        <f t="shared" si="12"/>
        <v>43530</v>
      </c>
      <c r="D91" s="585"/>
      <c r="E91" s="584">
        <f>'Sources and Uses Budget'!S92</f>
        <v>43530</v>
      </c>
      <c r="F91" s="585">
        <f t="shared" si="14"/>
        <v>43530</v>
      </c>
      <c r="G91" s="585"/>
      <c r="H91" s="584">
        <f>'Sources and Uses Budget'!T92</f>
        <v>0</v>
      </c>
      <c r="I91" s="585"/>
      <c r="J91" s="585"/>
      <c r="K91" s="579"/>
    </row>
    <row r="92" spans="1:11" s="253" customFormat="1" ht="11.4">
      <c r="A92" s="239" t="str">
        <f>'Sources and Uses Budget'!$A93</f>
        <v xml:space="preserve">Financial Consultant </v>
      </c>
      <c r="B92" s="584">
        <f>'Sources and Uses Budget'!C93</f>
        <v>194001</v>
      </c>
      <c r="C92" s="585">
        <f t="shared" si="12"/>
        <v>194001</v>
      </c>
      <c r="D92" s="585"/>
      <c r="E92" s="584">
        <f>'Sources and Uses Budget'!S93</f>
        <v>194001</v>
      </c>
      <c r="F92" s="585">
        <f t="shared" si="14"/>
        <v>194001</v>
      </c>
      <c r="G92" s="585"/>
      <c r="H92" s="584">
        <f>'Sources and Uses Budget'!T93</f>
        <v>0</v>
      </c>
      <c r="I92" s="585"/>
      <c r="J92" s="585"/>
      <c r="K92" s="579"/>
    </row>
    <row r="93" spans="1:11" s="253" customFormat="1" ht="11.4">
      <c r="A93" s="239" t="str">
        <f>'Sources and Uses Budget'!$A94</f>
        <v>Relocation</v>
      </c>
      <c r="B93" s="584">
        <f>'Sources and Uses Budget'!C94</f>
        <v>100000</v>
      </c>
      <c r="C93" s="585">
        <f t="shared" si="12"/>
        <v>100000</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1588022</v>
      </c>
      <c r="C94" s="584">
        <f>SUM(C81:C93)</f>
        <v>1588022</v>
      </c>
      <c r="D94" s="584">
        <f>SUM(D81:D93)</f>
        <v>0</v>
      </c>
      <c r="E94" s="584">
        <f>'Sources and Uses Budget'!S95</f>
        <v>1349531</v>
      </c>
      <c r="F94" s="587">
        <f>SUM(F82:F85,F87:F93)</f>
        <v>1349531</v>
      </c>
      <c r="G94" s="587">
        <f>SUM(G82:G85,G87:G93)</f>
        <v>0</v>
      </c>
      <c r="H94" s="584">
        <f>'Sources and Uses Budget'!T95</f>
        <v>0</v>
      </c>
      <c r="I94" s="584">
        <f>SUM(I82:I85,I87:I93)</f>
        <v>0</v>
      </c>
      <c r="J94" s="584">
        <f>SUM(J82:J85,J87:J93)</f>
        <v>0</v>
      </c>
      <c r="K94" s="579"/>
    </row>
    <row r="95" spans="1:11" s="253" customFormat="1">
      <c r="A95" s="243" t="s">
        <v>1356</v>
      </c>
      <c r="B95" s="584">
        <f>'Sources and Uses Budget'!C96</f>
        <v>17764925</v>
      </c>
      <c r="C95" s="584">
        <f>SUM(C61+C68+C75+C79+C94)</f>
        <v>17764925</v>
      </c>
      <c r="D95" s="584">
        <f>SUM(D61+D68+D75+D79+D94)</f>
        <v>0</v>
      </c>
      <c r="E95" s="584">
        <f>'Sources and Uses Budget'!S96</f>
        <v>13732295</v>
      </c>
      <c r="F95" s="587">
        <f>SUM(+F61+F68+F79+F94)</f>
        <v>13732295</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2059844</v>
      </c>
      <c r="C97" s="585">
        <f>+B97</f>
        <v>2059844</v>
      </c>
      <c r="D97" s="585"/>
      <c r="E97" s="584">
        <f>'Sources and Uses Budget'!S98</f>
        <v>2059844</v>
      </c>
      <c r="F97" s="585">
        <f>+E97</f>
        <v>2059844</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2059844</v>
      </c>
      <c r="C102" s="584">
        <f>SUM(C97:C101)</f>
        <v>2059844</v>
      </c>
      <c r="D102" s="584">
        <f>SUM(D97:D101)</f>
        <v>0</v>
      </c>
      <c r="E102" s="584">
        <f>'Sources and Uses Budget'!S103</f>
        <v>2059844</v>
      </c>
      <c r="F102" s="587">
        <f>SUM(F97:F101)</f>
        <v>2059844</v>
      </c>
      <c r="G102" s="587">
        <f>SUM(G97:G101)</f>
        <v>0</v>
      </c>
      <c r="H102" s="584">
        <f>'Sources and Uses Budget'!T103</f>
        <v>0</v>
      </c>
      <c r="I102" s="587">
        <f>SUM(I97:I101)</f>
        <v>0</v>
      </c>
      <c r="J102" s="587">
        <f>SUM(J97:J101)</f>
        <v>0</v>
      </c>
      <c r="K102" s="579"/>
    </row>
    <row r="103" spans="1:11" s="253" customFormat="1">
      <c r="A103" s="243" t="s">
        <v>1357</v>
      </c>
      <c r="B103" s="584">
        <f>'Sources and Uses Budget'!C104</f>
        <v>19824769</v>
      </c>
      <c r="C103" s="587">
        <f>SUM(C95+C102)</f>
        <v>19824769</v>
      </c>
      <c r="D103" s="587">
        <f>SUM(D95+D102)</f>
        <v>0</v>
      </c>
      <c r="E103" s="584">
        <f>'Sources and Uses Budget'!S104</f>
        <v>15792139</v>
      </c>
      <c r="F103" s="587">
        <f>F95+F102</f>
        <v>15792139</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15792139</v>
      </c>
      <c r="F105" s="587">
        <f>F103+F104</f>
        <v>15792139</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7" workbookViewId="0">
      <selection activeCell="AK44" sqref="AK4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2" t="s">
        <v>846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4" t="s">
        <v>364</v>
      </c>
      <c r="AF4" s="1684"/>
      <c r="AG4" s="1684"/>
      <c r="AH4" s="1684"/>
      <c r="AI4" s="1684"/>
      <c r="AJ4" s="1684"/>
      <c r="AK4" s="1684"/>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2" t="s">
        <v>854</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2325</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7" t="s">
        <v>1243</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7" t="s">
        <v>1246</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2207</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65"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9" t="str">
        <f>Application!AA329</f>
        <v>Danco Property Management</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7" t="s">
        <v>1247</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1278</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1470</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50000000000003"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2200</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5"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4" t="s">
        <v>364</v>
      </c>
      <c r="AF64" s="1684"/>
      <c r="AG64" s="1684"/>
      <c r="AH64" s="1684"/>
      <c r="AI64" s="1684"/>
      <c r="AJ64" s="1684"/>
      <c r="AK64" s="168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7" t="s">
        <v>564</v>
      </c>
      <c r="C66" s="1797"/>
      <c r="D66" s="1797"/>
      <c r="E66" s="1797"/>
      <c r="F66" s="1797"/>
      <c r="G66" s="1797"/>
      <c r="H66" s="1797"/>
      <c r="I66" s="1797"/>
      <c r="J66" s="1797"/>
      <c r="K66" s="1797"/>
      <c r="AF66" s="1692" t="s">
        <v>938</v>
      </c>
      <c r="AG66" s="1692"/>
      <c r="AH66" s="1692"/>
      <c r="AI66" s="1692"/>
      <c r="AJ66" s="1692"/>
      <c r="AK66" s="1692"/>
      <c r="AL66" s="1692"/>
      <c r="AN66" s="281"/>
      <c r="AP66" s="4" t="s">
        <v>124</v>
      </c>
      <c r="AS66" s="4" t="s">
        <v>665</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977</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2115</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4"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854</v>
      </c>
      <c r="AG90" s="1692"/>
      <c r="AH90" s="1692"/>
      <c r="AI90" s="1692"/>
      <c r="AJ90" s="1692"/>
      <c r="AK90" s="1692"/>
      <c r="AL90" s="169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731</v>
      </c>
      <c r="I112" s="1683"/>
      <c r="J112" s="116"/>
      <c r="K112" s="116"/>
      <c r="L112" s="116"/>
      <c r="M112" s="937" t="s">
        <v>2099</v>
      </c>
      <c r="R112" s="1802"/>
      <c r="S112" s="1802"/>
      <c r="T112" s="1802"/>
      <c r="U112" s="1802"/>
      <c r="V112" s="1802"/>
      <c r="W112" s="1802"/>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3"/>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3"/>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4" t="s">
        <v>2247</v>
      </c>
      <c r="E116" s="1884"/>
      <c r="F116" s="1884"/>
      <c r="G116" s="1884"/>
      <c r="H116" s="1884"/>
      <c r="I116" s="1884"/>
      <c r="J116" s="1884"/>
      <c r="K116" s="1884"/>
      <c r="L116" s="1884"/>
      <c r="M116" s="1884"/>
      <c r="N116" s="1884"/>
      <c r="O116" s="1884"/>
      <c r="P116" s="1884"/>
      <c r="Q116" s="1884"/>
      <c r="R116" s="1884"/>
      <c r="S116" s="1884"/>
      <c r="T116" s="1884"/>
      <c r="U116" s="1884"/>
      <c r="V116" s="1884"/>
      <c r="W116" s="1884"/>
      <c r="X116" s="1884"/>
      <c r="Y116" s="1884"/>
      <c r="Z116" s="1884"/>
      <c r="AA116" s="1884"/>
      <c r="AB116" s="1884"/>
      <c r="AC116" s="1884"/>
      <c r="AD116" s="1884"/>
      <c r="AE116" s="1884"/>
      <c r="AF116" s="1884"/>
      <c r="AG116" s="1884"/>
      <c r="AH116" s="1884"/>
      <c r="AN116" s="281"/>
      <c r="AO116" s="4" t="s">
        <v>124</v>
      </c>
      <c r="AP116" s="472">
        <v>0</v>
      </c>
    </row>
    <row r="117" spans="1:47" s="4" customFormat="1" ht="12.75" customHeight="1">
      <c r="B117" s="5"/>
      <c r="C117" s="115"/>
      <c r="D117" s="1884"/>
      <c r="E117" s="1884"/>
      <c r="F117" s="1884"/>
      <c r="G117" s="1884"/>
      <c r="H117" s="1884"/>
      <c r="I117" s="1884"/>
      <c r="J117" s="1884"/>
      <c r="K117" s="1884"/>
      <c r="L117" s="1884"/>
      <c r="M117" s="1884"/>
      <c r="N117" s="1884"/>
      <c r="O117" s="1884"/>
      <c r="P117" s="1884"/>
      <c r="Q117" s="1884"/>
      <c r="R117" s="1884"/>
      <c r="S117" s="1884"/>
      <c r="T117" s="1884"/>
      <c r="U117" s="1884"/>
      <c r="V117" s="1884"/>
      <c r="W117" s="1884"/>
      <c r="X117" s="1884"/>
      <c r="Y117" s="1884"/>
      <c r="Z117" s="1884"/>
      <c r="AA117" s="1884"/>
      <c r="AB117" s="1884"/>
      <c r="AC117" s="1884"/>
      <c r="AD117" s="1884"/>
      <c r="AE117" s="1884"/>
      <c r="AF117" s="1884"/>
      <c r="AG117" s="1884"/>
      <c r="AH117" s="1884"/>
      <c r="AN117" s="281"/>
      <c r="AO117" s="4" t="s">
        <v>1471</v>
      </c>
      <c r="AP117" s="4">
        <v>3</v>
      </c>
    </row>
    <row r="118" spans="1:47" s="4" customFormat="1" ht="12.75" customHeight="1">
      <c r="B118" s="5"/>
      <c r="C118" s="115"/>
      <c r="E118" s="4" t="s">
        <v>147</v>
      </c>
      <c r="F118" s="116"/>
      <c r="G118" s="116"/>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124</v>
      </c>
      <c r="C120" s="1797"/>
      <c r="D120" s="49"/>
      <c r="E120" s="1646" t="s">
        <v>1769</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4</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0" t="s">
        <v>1837</v>
      </c>
      <c r="F128" s="1800"/>
      <c r="G128" s="1800"/>
      <c r="H128" s="1800"/>
      <c r="I128" s="1800"/>
      <c r="J128" s="1800"/>
      <c r="K128" s="1800"/>
      <c r="L128" s="1800"/>
      <c r="M128" s="1800"/>
      <c r="N128" s="1800"/>
      <c r="O128" s="1800"/>
      <c r="P128" s="1800"/>
      <c r="Q128" s="1800"/>
      <c r="R128" s="1800"/>
      <c r="S128" s="1800"/>
      <c r="T128" s="1800"/>
      <c r="U128" s="1800"/>
      <c r="V128" s="1800"/>
      <c r="W128" s="1800"/>
      <c r="X128" s="1800"/>
      <c r="Y128" s="1800"/>
      <c r="Z128" s="1800"/>
      <c r="AA128" s="1800"/>
      <c r="AB128" s="1800"/>
      <c r="AC128" s="1800"/>
      <c r="AD128" s="1800"/>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800"/>
      <c r="F129" s="1800"/>
      <c r="G129" s="1800"/>
      <c r="H129" s="1800"/>
      <c r="I129" s="1800"/>
      <c r="J129" s="1800"/>
      <c r="K129" s="1800"/>
      <c r="L129" s="1800"/>
      <c r="M129" s="1800"/>
      <c r="N129" s="1800"/>
      <c r="O129" s="1800"/>
      <c r="P129" s="1800"/>
      <c r="Q129" s="1800"/>
      <c r="R129" s="1800"/>
      <c r="S129" s="1800"/>
      <c r="T129" s="1800"/>
      <c r="U129" s="1800"/>
      <c r="V129" s="1800"/>
      <c r="W129" s="1800"/>
      <c r="X129" s="1800"/>
      <c r="Y129" s="1800"/>
      <c r="Z129" s="1800"/>
      <c r="AA129" s="1800"/>
      <c r="AB129" s="1800"/>
      <c r="AC129" s="1800"/>
      <c r="AD129" s="1800"/>
      <c r="AF129" s="5"/>
      <c r="AN129" s="281"/>
    </row>
    <row r="130" spans="1:42" s="4" customFormat="1" ht="12.75" customHeight="1">
      <c r="B130" s="5"/>
      <c r="C130" s="45"/>
      <c r="D130" s="26"/>
      <c r="E130" s="1800"/>
      <c r="F130" s="1800"/>
      <c r="G130" s="1800"/>
      <c r="H130" s="1800"/>
      <c r="I130" s="1800"/>
      <c r="J130" s="1800"/>
      <c r="K130" s="1800"/>
      <c r="L130" s="1800"/>
      <c r="M130" s="1800"/>
      <c r="N130" s="1800"/>
      <c r="O130" s="1800"/>
      <c r="P130" s="1800"/>
      <c r="Q130" s="1800"/>
      <c r="R130" s="1800"/>
      <c r="S130" s="1800"/>
      <c r="T130" s="1800"/>
      <c r="U130" s="1800"/>
      <c r="V130" s="1800"/>
      <c r="W130" s="1800"/>
      <c r="X130" s="1800"/>
      <c r="Y130" s="1800"/>
      <c r="Z130" s="1800"/>
      <c r="AA130" s="1800"/>
      <c r="AB130" s="1800"/>
      <c r="AC130" s="1800"/>
      <c r="AD130" s="1800"/>
      <c r="AF130" s="5"/>
      <c r="AN130" s="281"/>
    </row>
    <row r="131" spans="1:42" s="4" customFormat="1" ht="12.75" customHeight="1">
      <c r="A131" s="35"/>
      <c r="B131" s="102"/>
      <c r="C131" s="121"/>
      <c r="D131" s="26"/>
      <c r="E131" s="1800"/>
      <c r="F131" s="1800"/>
      <c r="G131" s="1800"/>
      <c r="H131" s="1800"/>
      <c r="I131" s="1800"/>
      <c r="J131" s="1800"/>
      <c r="K131" s="1800"/>
      <c r="L131" s="1800"/>
      <c r="M131" s="1800"/>
      <c r="N131" s="1800"/>
      <c r="O131" s="1800"/>
      <c r="P131" s="1800"/>
      <c r="Q131" s="1800"/>
      <c r="R131" s="1800"/>
      <c r="S131" s="1800"/>
      <c r="T131" s="1800"/>
      <c r="U131" s="1800"/>
      <c r="V131" s="1800"/>
      <c r="W131" s="1800"/>
      <c r="X131" s="1800"/>
      <c r="Y131" s="1800"/>
      <c r="Z131" s="1800"/>
      <c r="AA131" s="1800"/>
      <c r="AB131" s="1800"/>
      <c r="AC131" s="1800"/>
      <c r="AD131" s="1800"/>
      <c r="AE131" s="19"/>
      <c r="AF131" s="102"/>
      <c r="AG131" s="19"/>
      <c r="AH131" s="19"/>
      <c r="AI131" s="19"/>
      <c r="AJ131" s="19"/>
      <c r="AN131" s="281"/>
    </row>
    <row r="132" spans="1:42" s="4" customFormat="1" ht="22.95" customHeight="1">
      <c r="B132" s="102"/>
      <c r="C132" s="121"/>
      <c r="D132" s="26"/>
      <c r="E132" s="1800"/>
      <c r="F132" s="1800"/>
      <c r="G132" s="1800"/>
      <c r="H132" s="1800"/>
      <c r="I132" s="1800"/>
      <c r="J132" s="1800"/>
      <c r="K132" s="1800"/>
      <c r="L132" s="1800"/>
      <c r="M132" s="1800"/>
      <c r="N132" s="1800"/>
      <c r="O132" s="1800"/>
      <c r="P132" s="1800"/>
      <c r="Q132" s="1800"/>
      <c r="R132" s="1800"/>
      <c r="S132" s="1800"/>
      <c r="T132" s="1800"/>
      <c r="U132" s="1800"/>
      <c r="V132" s="1800"/>
      <c r="W132" s="1800"/>
      <c r="X132" s="1800"/>
      <c r="Y132" s="1800"/>
      <c r="Z132" s="1800"/>
      <c r="AA132" s="1800"/>
      <c r="AB132" s="1800"/>
      <c r="AC132" s="1800"/>
      <c r="AD132" s="180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581</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581</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3</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6" t="s">
        <v>746</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0" t="s">
        <v>59</v>
      </c>
      <c r="AG156" s="1110"/>
      <c r="AH156" s="1110"/>
      <c r="AI156" s="1110"/>
      <c r="AJ156" s="1110"/>
      <c r="AK156" s="1110"/>
      <c r="AL156" s="1110"/>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1713</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0" t="s">
        <v>60</v>
      </c>
      <c r="AG160" s="1110"/>
      <c r="AH160" s="1110"/>
      <c r="AI160" s="1110"/>
      <c r="AJ160" s="1110"/>
      <c r="AK160" s="1110"/>
      <c r="AL160" s="1110"/>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6" t="s">
        <v>1714</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0" t="s">
        <v>61</v>
      </c>
      <c r="AG164" s="1110"/>
      <c r="AH164" s="1110"/>
      <c r="AI164" s="1110"/>
      <c r="AJ164" s="1110"/>
      <c r="AK164" s="1110"/>
      <c r="AL164" s="1110"/>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0"/>
      <c r="AF165" s="1110"/>
      <c r="AG165" s="1110"/>
      <c r="AH165" s="1110"/>
      <c r="AI165" s="1110"/>
      <c r="AJ165" s="1110"/>
      <c r="AK165" s="1110"/>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6" t="s">
        <v>1715</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0" t="s">
        <v>60</v>
      </c>
      <c r="AG168" s="1110"/>
      <c r="AH168" s="1110"/>
      <c r="AI168" s="1110"/>
      <c r="AJ168" s="1110"/>
      <c r="AK168" s="1110"/>
      <c r="AL168" s="1110"/>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6" t="s">
        <v>1716</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1473</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0" t="s">
        <v>103</v>
      </c>
      <c r="AG176" s="1110"/>
      <c r="AH176" s="1110"/>
      <c r="AI176" s="1110"/>
      <c r="AJ176" s="1110"/>
      <c r="AK176" s="1110"/>
      <c r="AL176" s="1110"/>
      <c r="AM176" s="20"/>
      <c r="AN176" s="281"/>
      <c r="AO176" s="26" t="s">
        <v>281</v>
      </c>
      <c r="AP176" s="4">
        <v>1</v>
      </c>
    </row>
    <row r="177" spans="1:61" s="4" customFormat="1" ht="22.95"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1474</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0" t="s">
        <v>318</v>
      </c>
      <c r="AG179" s="1110"/>
      <c r="AH179" s="1110"/>
      <c r="AI179" s="1110"/>
      <c r="AJ179" s="1110"/>
      <c r="AK179" s="1110"/>
      <c r="AL179" s="1110"/>
      <c r="AM179" s="20"/>
      <c r="AN179" s="281"/>
    </row>
    <row r="180" spans="1:61" s="4" customFormat="1" ht="22.95"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581</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5</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2" t="s">
        <v>2310</v>
      </c>
      <c r="F188" s="1882"/>
      <c r="G188" s="1882"/>
      <c r="H188" s="1882"/>
      <c r="I188" s="1882"/>
      <c r="J188" s="1882"/>
      <c r="K188" s="1882"/>
      <c r="L188" s="1882"/>
      <c r="M188" s="1882"/>
      <c r="N188" s="1882"/>
      <c r="O188" s="1882"/>
      <c r="P188" s="1882"/>
      <c r="Q188" s="1882"/>
      <c r="R188" s="1882"/>
      <c r="S188" s="1882"/>
      <c r="T188" s="1882"/>
      <c r="U188" s="1882"/>
      <c r="V188" s="1882"/>
      <c r="W188" s="1882"/>
      <c r="X188" s="1882"/>
      <c r="Y188" s="1882"/>
      <c r="Z188" s="1882"/>
      <c r="AA188" s="1882"/>
      <c r="AB188" s="1882"/>
      <c r="AD188" s="5"/>
      <c r="AF188" s="1136" t="s">
        <v>61</v>
      </c>
      <c r="AG188" s="1136"/>
      <c r="AH188" s="1136"/>
      <c r="AI188" s="1136"/>
      <c r="AJ188" s="1136"/>
      <c r="AK188" s="1136"/>
      <c r="AL188" s="1136"/>
      <c r="AN188" s="281"/>
    </row>
    <row r="189" spans="1:61" s="4" customFormat="1" ht="12.75" customHeight="1">
      <c r="A189" s="120"/>
      <c r="B189" s="5"/>
      <c r="C189" s="130"/>
      <c r="D189" s="26"/>
      <c r="E189" s="1882"/>
      <c r="F189" s="1882"/>
      <c r="G189" s="1882"/>
      <c r="H189" s="1882"/>
      <c r="I189" s="1882"/>
      <c r="J189" s="1882"/>
      <c r="K189" s="1882"/>
      <c r="L189" s="1882"/>
      <c r="M189" s="1882"/>
      <c r="N189" s="1882"/>
      <c r="O189" s="1882"/>
      <c r="P189" s="1882"/>
      <c r="Q189" s="1882"/>
      <c r="R189" s="1882"/>
      <c r="S189" s="1882"/>
      <c r="T189" s="1882"/>
      <c r="U189" s="1882"/>
      <c r="V189" s="1882"/>
      <c r="W189" s="1882"/>
      <c r="X189" s="1882"/>
      <c r="Y189" s="1882"/>
      <c r="Z189" s="1882"/>
      <c r="AA189" s="1882"/>
      <c r="AB189" s="1882"/>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2233</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0" t="s">
        <v>61</v>
      </c>
      <c r="AG191" s="1110"/>
      <c r="AH191" s="1110"/>
      <c r="AI191" s="1110"/>
      <c r="AJ191" s="1110"/>
      <c r="AK191" s="1110"/>
      <c r="AL191" s="1110"/>
      <c r="AN191" s="281"/>
      <c r="AO191" s="26" t="s">
        <v>581</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0"/>
      <c r="AG192" s="1110"/>
      <c r="AH192" s="1110"/>
      <c r="AI192" s="1110"/>
      <c r="AJ192" s="1110"/>
      <c r="AK192" s="1110"/>
      <c r="AL192" s="1110"/>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890</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6" t="s">
        <v>2234</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0" t="s">
        <v>103</v>
      </c>
      <c r="AG196" s="1110"/>
      <c r="AH196" s="1110"/>
      <c r="AI196" s="1110"/>
      <c r="AJ196" s="1110"/>
      <c r="AK196" s="1110"/>
      <c r="AL196" s="1110"/>
      <c r="AN196" s="281"/>
      <c r="AY196" s="4" t="s">
        <v>2235</v>
      </c>
      <c r="AZ196" s="959">
        <f>Application!AC215</f>
        <v>20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0"/>
      <c r="AG197" s="1110"/>
      <c r="AH197" s="1110"/>
      <c r="AI197" s="1110"/>
      <c r="AJ197" s="1110"/>
      <c r="AK197" s="1110"/>
      <c r="AL197" s="1110"/>
      <c r="AN197" s="281"/>
      <c r="AO197" s="127" t="b">
        <f>IF(OR(Application!D214="Special Needs",Application!D211="At-Risk and Special Needs"),IF(BA203&gt;=0.25,TRUE,FALSE),IF(AZ203&gt;=0.25,TRUE,FALSE))</f>
        <v>0</v>
      </c>
      <c r="AY197" s="4" t="s">
        <v>2236</v>
      </c>
      <c r="AZ197" s="959">
        <f>Application!G730</f>
        <v>20</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2238</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2239</v>
      </c>
      <c r="AZ199">
        <f>Application!CH626</f>
        <v>1</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2292</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2241</v>
      </c>
      <c r="AZ202">
        <f>AZ198+AZ199+AZ201</f>
        <v>1</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2242</v>
      </c>
      <c r="AZ203">
        <f>IFERROR(AZ202/AZ197,0)</f>
        <v>0.05</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5" t="s">
        <v>1254</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692" t="s">
        <v>61</v>
      </c>
      <c r="AG210" s="1692"/>
      <c r="AH210" s="1692"/>
      <c r="AI210" s="1692"/>
      <c r="AJ210" s="1692"/>
      <c r="AK210" s="1692"/>
      <c r="AL210" s="1692"/>
      <c r="AM210" s="4"/>
      <c r="AN210" s="204"/>
      <c r="AO210" s="4" t="s">
        <v>124</v>
      </c>
      <c r="AP210" s="472">
        <v>0</v>
      </c>
    </row>
    <row r="211" spans="1:52" customFormat="1" ht="11.8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581</v>
      </c>
      <c r="AP211" s="4">
        <v>3</v>
      </c>
    </row>
    <row r="212" spans="1:52" customFormat="1" ht="13.95"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3.95" customHeight="1">
      <c r="A213" s="4"/>
      <c r="B213" s="5"/>
      <c r="C213" s="45"/>
      <c r="D213" s="26" t="s">
        <v>197</v>
      </c>
      <c r="E213" s="1691" t="s">
        <v>1255</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3" t="s">
        <v>124</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6" t="s">
        <v>1490</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882</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6" t="s">
        <v>1123</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6" t="s">
        <v>1124</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124</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0</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6" t="s">
        <v>317</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6" t="s">
        <v>1256</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318</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124</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0</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6" t="s">
        <v>1949</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1950</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6" t="s">
        <v>2209</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1633</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15</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2363</v>
      </c>
      <c r="I287" s="1056"/>
      <c r="J287" s="1056"/>
      <c r="K287" s="1056"/>
      <c r="L287" s="1056"/>
      <c r="M287" s="1056"/>
      <c r="N287" s="1056"/>
      <c r="O287" s="1056"/>
      <c r="P287" s="1056"/>
      <c r="Q287" s="1056"/>
      <c r="R287" s="1056"/>
      <c r="S287"/>
      <c r="T287" s="41" t="s">
        <v>89</v>
      </c>
      <c r="U287"/>
      <c r="V287" s="41"/>
      <c r="W287" s="41"/>
      <c r="X287" s="41"/>
      <c r="Y287" s="41"/>
      <c r="Z287"/>
      <c r="AA287" s="1056" t="s">
        <v>2369</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2364</v>
      </c>
      <c r="I288" s="1054"/>
      <c r="J288" s="1054"/>
      <c r="K288" s="1054"/>
      <c r="L288" s="1054"/>
      <c r="M288" s="1054"/>
      <c r="N288" s="1054"/>
      <c r="O288" s="1054"/>
      <c r="P288" s="1054"/>
      <c r="Q288" s="1054"/>
      <c r="R288" s="1054"/>
      <c r="S288"/>
      <c r="T288" s="41" t="s">
        <v>699</v>
      </c>
      <c r="U288"/>
      <c r="V288" s="41"/>
      <c r="W288" s="41"/>
      <c r="X288" s="41"/>
      <c r="Y288" s="41"/>
      <c r="Z288"/>
      <c r="AA288" s="1054" t="s">
        <v>2370</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2371</v>
      </c>
      <c r="I289" s="1054"/>
      <c r="J289" s="1054"/>
      <c r="K289" s="1054"/>
      <c r="L289" s="1054"/>
      <c r="M289" s="1054"/>
      <c r="N289" s="1054"/>
      <c r="O289" s="1054"/>
      <c r="P289" s="1054"/>
      <c r="Q289" s="1054"/>
      <c r="R289" s="1054"/>
      <c r="S289"/>
      <c r="T289" s="41" t="s">
        <v>99</v>
      </c>
      <c r="U289"/>
      <c r="V289" s="41"/>
      <c r="W289" s="41"/>
      <c r="X289" s="41"/>
      <c r="Y289" s="41"/>
      <c r="Z289"/>
      <c r="AA289" s="1054" t="s">
        <v>2371</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2365</v>
      </c>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9" t="s">
        <v>2366</v>
      </c>
      <c r="I291" s="1057"/>
      <c r="J291" s="1057"/>
      <c r="K291" s="1057"/>
      <c r="L291" s="1057"/>
      <c r="M291" s="1057"/>
      <c r="N291" s="5" t="s">
        <v>818</v>
      </c>
      <c r="O291" s="5"/>
      <c r="P291" s="1053"/>
      <c r="Q291" s="1053"/>
      <c r="R291" s="1053"/>
      <c r="S291" s="41"/>
      <c r="T291" s="41" t="s">
        <v>375</v>
      </c>
      <c r="U291"/>
      <c r="V291" s="41"/>
      <c r="W291" s="41"/>
      <c r="X291" s="41"/>
      <c r="Y291" s="41"/>
      <c r="Z291"/>
      <c r="AA291" s="1057"/>
      <c r="AB291" s="1057"/>
      <c r="AC291" s="1057"/>
      <c r="AD291" s="1057"/>
      <c r="AE291" s="1057"/>
      <c r="AF291" s="1057"/>
      <c r="AG291" s="5" t="s">
        <v>818</v>
      </c>
      <c r="AH291" s="5"/>
      <c r="AI291" s="1053"/>
      <c r="AJ291" s="1053"/>
      <c r="AK291" s="1053"/>
      <c r="AL291" s="10"/>
      <c r="AN291" s="281"/>
      <c r="AO291" s="211"/>
      <c r="AP291" t="s">
        <v>2316</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2367</v>
      </c>
      <c r="I293" s="1054"/>
      <c r="J293" s="1054"/>
      <c r="K293" s="1054"/>
      <c r="L293" s="1054"/>
      <c r="M293" s="1054"/>
      <c r="N293" s="1054"/>
      <c r="O293" s="1054"/>
      <c r="P293" s="1054"/>
      <c r="Q293" s="1054"/>
      <c r="R293" s="1054"/>
      <c r="S293" s="41"/>
      <c r="T293" s="41" t="s">
        <v>90</v>
      </c>
      <c r="U293"/>
      <c r="V293" s="41"/>
      <c r="W293" s="41"/>
      <c r="X293" s="41"/>
      <c r="Y293" s="41"/>
      <c r="Z293"/>
      <c r="AA293" s="1054" t="s">
        <v>2373</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60" t="s">
        <v>2368</v>
      </c>
      <c r="I294" s="1860"/>
      <c r="J294" s="1860"/>
      <c r="K294" s="1860"/>
      <c r="L294" s="1860"/>
      <c r="M294" s="1860"/>
      <c r="N294" s="1860"/>
      <c r="O294" s="1860"/>
      <c r="P294" s="1860"/>
      <c r="Q294" s="1860"/>
      <c r="R294" s="1860"/>
      <c r="S294" s="41"/>
      <c r="T294" s="41" t="s">
        <v>101</v>
      </c>
      <c r="U294" s="41"/>
      <c r="V294" s="41"/>
      <c r="W294" s="41"/>
      <c r="X294" s="41"/>
      <c r="Y294" s="41"/>
      <c r="Z294" s="12"/>
      <c r="AA294" s="1860" t="s">
        <v>2372</v>
      </c>
      <c r="AB294" s="1860"/>
      <c r="AC294" s="1860"/>
      <c r="AD294" s="1860"/>
      <c r="AE294" s="1860"/>
      <c r="AF294" s="1860"/>
      <c r="AG294" s="1860"/>
      <c r="AH294" s="1860"/>
      <c r="AI294" s="1860"/>
      <c r="AJ294" s="1860"/>
      <c r="AK294" s="1860"/>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2374</v>
      </c>
      <c r="I296" s="1056"/>
      <c r="J296" s="1056"/>
      <c r="K296" s="1056"/>
      <c r="L296" s="1056"/>
      <c r="M296" s="1056"/>
      <c r="N296" s="1056"/>
      <c r="O296" s="1056"/>
      <c r="P296" s="1056"/>
      <c r="Q296" s="1056"/>
      <c r="R296" s="1056"/>
      <c r="S296"/>
      <c r="T296" s="41" t="s">
        <v>89</v>
      </c>
      <c r="U296"/>
      <c r="V296" s="41"/>
      <c r="W296" s="41"/>
      <c r="X296" s="41"/>
      <c r="Y296" s="41"/>
      <c r="Z296"/>
      <c r="AA296" s="1056" t="s">
        <v>2379</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2375</v>
      </c>
      <c r="I297" s="1054"/>
      <c r="J297" s="1054"/>
      <c r="K297" s="1054"/>
      <c r="L297" s="1054"/>
      <c r="M297" s="1054"/>
      <c r="N297" s="1054"/>
      <c r="O297" s="1054"/>
      <c r="P297" s="1054"/>
      <c r="Q297" s="1054"/>
      <c r="R297" s="1054"/>
      <c r="S297"/>
      <c r="T297" s="41" t="s">
        <v>699</v>
      </c>
      <c r="U297"/>
      <c r="V297" s="41"/>
      <c r="W297" s="41"/>
      <c r="X297" s="41"/>
      <c r="Y297" s="41"/>
      <c r="Z297"/>
      <c r="AA297" s="1054" t="s">
        <v>2380</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2371</v>
      </c>
      <c r="I298" s="1054"/>
      <c r="J298" s="1054"/>
      <c r="K298" s="1054"/>
      <c r="L298" s="1054"/>
      <c r="M298" s="1054"/>
      <c r="N298" s="1054"/>
      <c r="O298" s="1054"/>
      <c r="P298" s="1054"/>
      <c r="Q298" s="1054"/>
      <c r="R298" s="1054"/>
      <c r="S298"/>
      <c r="T298" s="41" t="s">
        <v>99</v>
      </c>
      <c r="U298"/>
      <c r="V298" s="41"/>
      <c r="W298" s="41"/>
      <c r="X298" s="41"/>
      <c r="Y298" s="41"/>
      <c r="Z298"/>
      <c r="AA298" s="1054" t="s">
        <v>2371</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9" t="s">
        <v>2376</v>
      </c>
      <c r="I300" s="1057"/>
      <c r="J300" s="1057"/>
      <c r="K300" s="1057"/>
      <c r="L300" s="1057"/>
      <c r="M300" s="1057"/>
      <c r="N300" s="5" t="s">
        <v>818</v>
      </c>
      <c r="O300" s="5"/>
      <c r="P300" s="1053"/>
      <c r="Q300" s="1053"/>
      <c r="R300" s="1053"/>
      <c r="S300" s="41"/>
      <c r="T300" s="41" t="s">
        <v>375</v>
      </c>
      <c r="U300"/>
      <c r="V300" s="41"/>
      <c r="W300" s="41"/>
      <c r="X300" s="41"/>
      <c r="Y300" s="41"/>
      <c r="Z300"/>
      <c r="AA300" s="1059" t="s">
        <v>2381</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t="s">
        <v>93</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2377</v>
      </c>
      <c r="I302" s="1054"/>
      <c r="J302" s="1054"/>
      <c r="K302" s="1054"/>
      <c r="L302" s="1054"/>
      <c r="M302" s="1054"/>
      <c r="N302" s="1054"/>
      <c r="O302" s="1054"/>
      <c r="P302" s="1054"/>
      <c r="Q302" s="1054"/>
      <c r="R302" s="1054"/>
      <c r="S302" s="41"/>
      <c r="T302" s="41" t="s">
        <v>90</v>
      </c>
      <c r="U302"/>
      <c r="V302" s="41"/>
      <c r="W302" s="41"/>
      <c r="X302" s="41"/>
      <c r="Y302" s="41"/>
      <c r="Z302"/>
      <c r="AA302" s="1054" t="s">
        <v>2382</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60" t="s">
        <v>2378</v>
      </c>
      <c r="I303" s="1860"/>
      <c r="J303" s="1860"/>
      <c r="K303" s="1860"/>
      <c r="L303" s="1860"/>
      <c r="M303" s="1860"/>
      <c r="N303" s="1860"/>
      <c r="O303" s="1860"/>
      <c r="P303" s="1860"/>
      <c r="Q303" s="1860"/>
      <c r="R303" s="1860"/>
      <c r="S303" s="41"/>
      <c r="T303" s="41" t="s">
        <v>101</v>
      </c>
      <c r="U303" s="41"/>
      <c r="V303" s="41"/>
      <c r="W303" s="41"/>
      <c r="X303" s="41"/>
      <c r="Y303" s="41"/>
      <c r="Z303" s="12"/>
      <c r="AA303" s="1860" t="s">
        <v>2383</v>
      </c>
      <c r="AB303" s="1860"/>
      <c r="AC303" s="1860"/>
      <c r="AD303" s="1860"/>
      <c r="AE303" s="1860"/>
      <c r="AF303" s="1860"/>
      <c r="AG303" s="1860"/>
      <c r="AH303" s="1860"/>
      <c r="AI303" s="1860"/>
      <c r="AJ303" s="1860"/>
      <c r="AK303" s="186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60"/>
      <c r="I312" s="1860"/>
      <c r="J312" s="1860"/>
      <c r="K312" s="1860"/>
      <c r="L312" s="1860"/>
      <c r="M312" s="1860"/>
      <c r="N312" s="1860"/>
      <c r="O312" s="1860"/>
      <c r="P312" s="1860"/>
      <c r="Q312" s="1860"/>
      <c r="R312" s="1860"/>
      <c r="S312" s="41"/>
      <c r="T312" s="41" t="s">
        <v>101</v>
      </c>
      <c r="U312" s="41"/>
      <c r="V312" s="41"/>
      <c r="W312" s="41"/>
      <c r="X312" s="41"/>
      <c r="Y312" s="41"/>
      <c r="Z312" s="12"/>
      <c r="AA312" s="1860"/>
      <c r="AB312" s="1860"/>
      <c r="AC312" s="1860"/>
      <c r="AD312" s="1860"/>
      <c r="AE312" s="1860"/>
      <c r="AF312" s="1860"/>
      <c r="AG312" s="1860"/>
      <c r="AH312" s="1860"/>
      <c r="AI312" s="1860"/>
      <c r="AJ312" s="1860"/>
      <c r="AK312" s="186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60"/>
      <c r="I321" s="1860"/>
      <c r="J321" s="1860"/>
      <c r="K321" s="1860"/>
      <c r="L321" s="1860"/>
      <c r="M321" s="1860"/>
      <c r="N321" s="1860"/>
      <c r="O321" s="1860"/>
      <c r="P321" s="1860"/>
      <c r="Q321" s="1860"/>
      <c r="R321" s="1860"/>
      <c r="S321" s="41"/>
      <c r="T321" s="41" t="s">
        <v>101</v>
      </c>
      <c r="U321" s="41"/>
      <c r="V321" s="41"/>
      <c r="W321" s="41"/>
      <c r="X321" s="41"/>
      <c r="Y321" s="41"/>
      <c r="Z321" s="12"/>
      <c r="AA321" s="1860"/>
      <c r="AB321" s="1860"/>
      <c r="AC321" s="1860"/>
      <c r="AD321" s="1860"/>
      <c r="AE321" s="1860"/>
      <c r="AF321" s="1860"/>
      <c r="AG321" s="1860"/>
      <c r="AH321" s="1860"/>
      <c r="AI321" s="1860"/>
      <c r="AJ321" s="1860"/>
      <c r="AK321" s="186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60"/>
      <c r="I330" s="1860"/>
      <c r="J330" s="1860"/>
      <c r="K330" s="1860"/>
      <c r="L330" s="1860"/>
      <c r="M330" s="1860"/>
      <c r="N330" s="1860"/>
      <c r="O330" s="1860"/>
      <c r="P330" s="1860"/>
      <c r="Q330" s="1860"/>
      <c r="R330" s="1860"/>
      <c r="S330" s="41"/>
      <c r="T330" s="41" t="s">
        <v>101</v>
      </c>
      <c r="U330" s="41"/>
      <c r="V330" s="41"/>
      <c r="W330" s="41"/>
      <c r="X330" s="41"/>
      <c r="Y330" s="41"/>
      <c r="Z330" s="12"/>
      <c r="AA330" s="1860"/>
      <c r="AB330" s="1860"/>
      <c r="AC330" s="1860"/>
      <c r="AD330" s="1860"/>
      <c r="AE330" s="1860"/>
      <c r="AF330" s="1860"/>
      <c r="AG330" s="1860"/>
      <c r="AH330" s="1860"/>
      <c r="AI330" s="1860"/>
      <c r="AJ330" s="1860"/>
      <c r="AK330" s="186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4" t="s">
        <v>364</v>
      </c>
      <c r="AF333" s="1684"/>
      <c r="AG333" s="1684"/>
      <c r="AH333" s="1684"/>
      <c r="AI333" s="1684"/>
      <c r="AJ333" s="1684"/>
      <c r="AK333" s="1684"/>
      <c r="AL333" s="3"/>
      <c r="AM333" s="827"/>
      <c r="AN333" s="3"/>
    </row>
    <row r="334" spans="1:76" s="4" customFormat="1" ht="12.75" customHeight="1">
      <c r="A334" s="3"/>
      <c r="B334" s="5"/>
      <c r="C334" s="1859" t="s">
        <v>1838</v>
      </c>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27"/>
      <c r="AL341" s="27"/>
      <c r="AM341" s="27"/>
      <c r="AN341" s="281"/>
      <c r="AO341" s="185"/>
    </row>
    <row r="342" spans="1:76" s="4" customFormat="1" ht="12.75" customHeight="1">
      <c r="A342" s="27"/>
      <c r="B342" s="26"/>
      <c r="C342" s="1859" t="s">
        <v>1839</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27"/>
      <c r="AL342" s="27"/>
      <c r="AM342" s="27"/>
      <c r="AN342" s="281"/>
    </row>
    <row r="343" spans="1:76" s="4" customFormat="1" ht="12.75" customHeight="1">
      <c r="A343" s="27"/>
      <c r="B343" s="2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27"/>
      <c r="AL343" s="27"/>
      <c r="AM343" s="27"/>
      <c r="AN343" s="281"/>
    </row>
    <row r="344" spans="1:76" s="4" customFormat="1" ht="12.75" customHeight="1">
      <c r="A344" s="27"/>
      <c r="B344" s="2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27"/>
      <c r="AL344" s="27"/>
      <c r="AM344" s="27"/>
      <c r="AN344" s="281"/>
      <c r="AQ344"/>
    </row>
    <row r="345" spans="1:76" s="4" customFormat="1" ht="12.75" customHeight="1">
      <c r="A345" s="27"/>
      <c r="B345" s="2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27"/>
      <c r="AL345" s="27"/>
      <c r="AM345" s="27"/>
      <c r="AN345" s="281"/>
      <c r="AQ345"/>
    </row>
    <row r="346" spans="1:76" s="4" customFormat="1" ht="12.45" customHeight="1">
      <c r="A346" s="27"/>
      <c r="B346" s="2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27"/>
      <c r="AL346" s="27"/>
      <c r="AM346" s="27"/>
      <c r="AN346" s="281"/>
      <c r="AQ346"/>
      <c r="AR346"/>
    </row>
    <row r="347" spans="1:76" s="4" customFormat="1" ht="12.75" customHeight="1">
      <c r="A347" s="27"/>
      <c r="B347" s="26"/>
      <c r="C347" s="1859" t="s">
        <v>2293</v>
      </c>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27"/>
      <c r="AL347" s="27"/>
      <c r="AM347" s="27"/>
      <c r="AN347" s="281"/>
      <c r="AQ347"/>
      <c r="AR347"/>
    </row>
    <row r="348" spans="1:76" s="4" customFormat="1" ht="12.75" customHeight="1">
      <c r="A348" s="27"/>
      <c r="B348" s="2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27"/>
      <c r="AL348" s="27"/>
      <c r="AM348" s="27"/>
      <c r="AN348" s="281"/>
      <c r="AR348"/>
    </row>
    <row r="349" spans="1:76" s="4" customFormat="1" ht="12.75" customHeight="1">
      <c r="A349" s="27"/>
      <c r="B349" s="2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27"/>
      <c r="AL349" s="27"/>
      <c r="AM349" s="27"/>
      <c r="AN349" s="281"/>
      <c r="AR349"/>
    </row>
    <row r="350" spans="1:76" s="4" customFormat="1" ht="12.75" customHeight="1">
      <c r="A350" s="27"/>
      <c r="B350" s="26"/>
      <c r="C350" s="1859" t="s">
        <v>1840</v>
      </c>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27"/>
      <c r="AL350" s="27"/>
      <c r="AM350" s="27"/>
      <c r="AN350" s="281"/>
      <c r="AQ350"/>
      <c r="AR350"/>
    </row>
    <row r="351" spans="1:76" s="4" customFormat="1" ht="12.75" customHeight="1">
      <c r="A351" s="27"/>
      <c r="B351" s="26"/>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27"/>
      <c r="AL351" s="27"/>
      <c r="AM351" s="27"/>
      <c r="AN351" s="281"/>
      <c r="AQ351"/>
      <c r="AR351"/>
    </row>
    <row r="352" spans="1:76" s="4" customFormat="1" ht="13.2" customHeight="1">
      <c r="A352" s="27"/>
      <c r="B352" s="26"/>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27"/>
      <c r="AL352" s="27"/>
      <c r="AM352" s="27"/>
      <c r="AN352" s="281"/>
      <c r="AQ352"/>
      <c r="AR352"/>
    </row>
    <row r="353" spans="1:46" s="4" customFormat="1" ht="12.75" customHeight="1">
      <c r="A353" s="27"/>
      <c r="B353" s="26"/>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27"/>
      <c r="AL353" s="27"/>
      <c r="AM353" s="27"/>
      <c r="AN353" s="281"/>
      <c r="AO353" s="170"/>
      <c r="AP353" s="170"/>
      <c r="AQ353"/>
    </row>
    <row r="354" spans="1:46" s="4" customFormat="1" ht="11.85" customHeight="1">
      <c r="A354" s="27"/>
      <c r="B354" s="26"/>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27"/>
      <c r="AL354" s="27"/>
      <c r="AM354" s="27"/>
      <c r="AN354" s="281"/>
      <c r="AO354" s="688" t="s">
        <v>900</v>
      </c>
      <c r="AP354" s="71">
        <f>IF(C379="Yes",5,0)</f>
        <v>0</v>
      </c>
      <c r="AS354" s="3" t="s">
        <v>1776</v>
      </c>
    </row>
    <row r="355" spans="1:46" s="4" customFormat="1" ht="12.75" customHeight="1">
      <c r="A355" s="27"/>
      <c r="B355" s="26"/>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c r="AA355" s="1859"/>
      <c r="AB355" s="1859"/>
      <c r="AC355" s="1859"/>
      <c r="AD355" s="1859"/>
      <c r="AE355" s="1859"/>
      <c r="AF355" s="1859"/>
      <c r="AG355" s="1859"/>
      <c r="AH355" s="1859"/>
      <c r="AI355" s="1859"/>
      <c r="AJ355" s="1859"/>
      <c r="AK355" s="27"/>
      <c r="AL355" s="27"/>
      <c r="AM355" s="27"/>
      <c r="AN355" s="281"/>
      <c r="AO355" s="688"/>
      <c r="AP355" s="71"/>
      <c r="AS355" s="1871">
        <f>IF(AQ368=0,AQ381,AQ368)</f>
        <v>10</v>
      </c>
      <c r="AT355" s="1871"/>
    </row>
    <row r="356" spans="1:46" s="4" customFormat="1" ht="12.75" customHeight="1">
      <c r="A356" s="27"/>
      <c r="B356" s="26"/>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c r="AA356" s="1859"/>
      <c r="AB356" s="1859"/>
      <c r="AC356" s="1859"/>
      <c r="AD356" s="1859"/>
      <c r="AE356" s="1859"/>
      <c r="AF356" s="1859"/>
      <c r="AG356" s="1859"/>
      <c r="AH356" s="1859"/>
      <c r="AI356" s="1859"/>
      <c r="AJ356" s="1859"/>
      <c r="AK356" s="27"/>
      <c r="AL356" s="27"/>
      <c r="AM356" s="27"/>
      <c r="AN356" s="281"/>
      <c r="AO356" s="688" t="s">
        <v>901</v>
      </c>
      <c r="AP356" s="71">
        <f>IF(C389="Yes",5,0)</f>
        <v>0</v>
      </c>
      <c r="AS356" s="3" t="s">
        <v>1809</v>
      </c>
    </row>
    <row r="357" spans="1:46" s="4" customFormat="1" ht="12.75" customHeight="1">
      <c r="A357" s="27"/>
      <c r="B357" s="26"/>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c r="AA357" s="1859"/>
      <c r="AB357" s="1859"/>
      <c r="AC357" s="1859"/>
      <c r="AD357" s="1859"/>
      <c r="AE357" s="1859"/>
      <c r="AF357" s="1859"/>
      <c r="AG357" s="1859"/>
      <c r="AH357" s="1859"/>
      <c r="AI357" s="1859"/>
      <c r="AJ357" s="1859"/>
      <c r="AK357" s="27"/>
      <c r="AL357" s="27"/>
      <c r="AM357" s="27"/>
      <c r="AN357" s="281"/>
      <c r="AO357" s="688"/>
      <c r="AP357" s="71"/>
      <c r="AS357" s="1871">
        <f>IF(AND(AQ368&gt;0,AQ381&gt;0),(AQ368+AQ381)/2,0)</f>
        <v>0</v>
      </c>
      <c r="AT357" s="1871"/>
    </row>
    <row r="358" spans="1:46" s="4" customFormat="1" ht="12.75" customHeight="1">
      <c r="A358" s="27"/>
      <c r="B358" s="26"/>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27"/>
      <c r="AL358" s="27"/>
      <c r="AM358" s="27"/>
      <c r="AN358" s="281"/>
      <c r="AO358" s="688" t="s">
        <v>907</v>
      </c>
      <c r="AP358" s="71">
        <f>IF(C399="Yes",7,0)</f>
        <v>0</v>
      </c>
    </row>
    <row r="359" spans="1:46" s="4" customFormat="1" ht="12.75" customHeight="1">
      <c r="A359" s="27"/>
      <c r="B359" s="26"/>
      <c r="C359" s="1859" t="s">
        <v>1841</v>
      </c>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27"/>
      <c r="AL359" s="27"/>
      <c r="AM359" s="27"/>
      <c r="AN359" s="281"/>
      <c r="AO359" s="281"/>
      <c r="AP359" s="71">
        <f>IF(C401="Yes",5,0)</f>
        <v>0</v>
      </c>
    </row>
    <row r="360" spans="1:46" s="4" customFormat="1" ht="12.75" customHeight="1">
      <c r="A360" s="27"/>
      <c r="B360" s="2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27"/>
      <c r="AL360" s="27"/>
      <c r="AM360" s="27"/>
      <c r="AN360" s="281"/>
      <c r="AO360" s="281"/>
      <c r="AP360" s="71"/>
    </row>
    <row r="361" spans="1:46" s="4" customFormat="1" ht="12.75" customHeight="1">
      <c r="A361" s="27"/>
      <c r="B361" s="26"/>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c r="AI361" s="1859"/>
      <c r="AJ361" s="1859"/>
      <c r="AK361" s="27"/>
      <c r="AL361" s="27"/>
      <c r="AM361" s="27"/>
      <c r="AN361" s="281"/>
      <c r="AO361" s="688" t="s">
        <v>431</v>
      </c>
      <c r="AP361" s="71">
        <f>IF(C409="Yes",5,0)</f>
        <v>0</v>
      </c>
    </row>
    <row r="362" spans="1:46" s="4" customFormat="1" ht="11.85" customHeight="1">
      <c r="A362" s="27"/>
      <c r="B362" s="26"/>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c r="AI362" s="1859"/>
      <c r="AJ362" s="1859"/>
      <c r="AK362" s="27"/>
      <c r="AL362" s="27"/>
      <c r="AM362" s="27"/>
      <c r="AN362" s="281"/>
      <c r="AO362" s="281"/>
      <c r="AP362" s="71">
        <f>IF(C411="Yes",3,0)</f>
        <v>0</v>
      </c>
    </row>
    <row r="363" spans="1:46" s="4" customFormat="1" ht="12.45" customHeight="1">
      <c r="A363" s="27"/>
      <c r="B363" s="26"/>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c r="AI363" s="1859"/>
      <c r="AJ363" s="1859"/>
      <c r="AK363" s="27"/>
      <c r="AL363" s="27"/>
      <c r="AM363" s="27"/>
      <c r="AN363" s="281"/>
      <c r="AO363" s="281"/>
      <c r="AP363" s="71"/>
    </row>
    <row r="364" spans="1:46" s="4" customFormat="1" ht="12.75" customHeight="1">
      <c r="A364" s="27"/>
      <c r="B364" s="26"/>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c r="AA364" s="1859"/>
      <c r="AB364" s="1859"/>
      <c r="AC364" s="1859"/>
      <c r="AD364" s="1859"/>
      <c r="AE364" s="1859"/>
      <c r="AF364" s="1859"/>
      <c r="AG364" s="1859"/>
      <c r="AH364" s="1859"/>
      <c r="AI364" s="1859"/>
      <c r="AJ364" s="1859"/>
      <c r="AK364" s="27"/>
      <c r="AL364" s="27"/>
      <c r="AM364" s="27"/>
      <c r="AN364" s="281"/>
      <c r="AO364" s="688" t="s">
        <v>171</v>
      </c>
      <c r="AP364" s="71">
        <f>IF(C414="Yes",5,0)</f>
        <v>0</v>
      </c>
    </row>
    <row r="365" spans="1:46" s="4" customFormat="1" ht="12.75" customHeight="1">
      <c r="A365" s="27"/>
      <c r="B365" s="26"/>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c r="AA365" s="1859"/>
      <c r="AB365" s="1859"/>
      <c r="AC365" s="1859"/>
      <c r="AD365" s="1859"/>
      <c r="AE365" s="1859"/>
      <c r="AF365" s="1859"/>
      <c r="AG365" s="1859"/>
      <c r="AH365" s="1859"/>
      <c r="AI365" s="1859"/>
      <c r="AJ365" s="1859"/>
      <c r="AK365" s="27"/>
      <c r="AL365" s="27"/>
      <c r="AM365" s="27"/>
      <c r="AN365" s="281"/>
      <c r="AO365" s="688" t="s">
        <v>434</v>
      </c>
      <c r="AP365" s="71">
        <f>IF(C423="Yes",5,0)</f>
        <v>0</v>
      </c>
    </row>
    <row r="366" spans="1:46" s="4" customFormat="1" ht="12.75" customHeight="1">
      <c r="A366" s="27"/>
      <c r="B366" s="26"/>
      <c r="C366" s="1859" t="s">
        <v>1842</v>
      </c>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c r="AA366" s="1859"/>
      <c r="AB366" s="1859"/>
      <c r="AC366" s="1859"/>
      <c r="AD366" s="1859"/>
      <c r="AE366" s="1859"/>
      <c r="AF366" s="1859"/>
      <c r="AG366" s="1859"/>
      <c r="AH366" s="1859"/>
      <c r="AI366" s="1859"/>
      <c r="AJ366" s="1859"/>
      <c r="AK366" s="27"/>
      <c r="AL366" s="27"/>
      <c r="AM366" s="27"/>
      <c r="AN366" s="281"/>
      <c r="AO366" s="281"/>
      <c r="AP366" s="71">
        <f>IF(C425="Yes",3,0)</f>
        <v>0</v>
      </c>
    </row>
    <row r="367" spans="1:46" s="4" customFormat="1" ht="12.75" customHeight="1">
      <c r="A367" s="27"/>
      <c r="B367" s="26"/>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27"/>
      <c r="AL367" s="27"/>
      <c r="AM367" s="27"/>
      <c r="AN367" s="281"/>
      <c r="AO367" s="689"/>
      <c r="AP367" s="55"/>
    </row>
    <row r="368" spans="1:46" s="4" customFormat="1" ht="68.099999999999994" customHeight="1">
      <c r="A368" s="27"/>
      <c r="B368" s="26"/>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27"/>
      <c r="AL368" s="27"/>
      <c r="AM368" s="27"/>
      <c r="AN368" s="281"/>
      <c r="AO368" s="690" t="s">
        <v>610</v>
      </c>
      <c r="AP368" s="168">
        <f>SUM(AP354:AP367)</f>
        <v>0</v>
      </c>
      <c r="AQ368" s="1227">
        <f>IF(AP368&gt;0,AP368,0)</f>
        <v>0</v>
      </c>
      <c r="AR368" s="1227"/>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3">
        <f>Application!CQ649-U371</f>
        <v>0</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4">
        <f>IF(Application!D214="SRO",Application!CQ628,Application!AG733)</f>
        <v>24</v>
      </c>
      <c r="V371" s="1704"/>
      <c r="W371" s="1704"/>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1" t="s">
        <v>1785</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6"/>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319</v>
      </c>
      <c r="AG379" s="1546"/>
      <c r="AH379" s="1546"/>
      <c r="AI379" s="1546"/>
      <c r="AJ379" s="1546"/>
      <c r="AK379" s="1546"/>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7">
        <f>IF(AP381&gt;0,AP381,0)</f>
        <v>10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1784</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6"/>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319</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2" t="s">
        <v>1948</v>
      </c>
      <c r="G394" s="1872"/>
      <c r="H394" s="1872"/>
      <c r="I394" s="1872"/>
      <c r="J394" s="1872"/>
      <c r="K394" s="1872"/>
      <c r="L394" s="1872"/>
      <c r="M394" s="1872"/>
      <c r="N394" s="1872"/>
      <c r="O394" s="1872"/>
      <c r="P394" s="1872"/>
      <c r="Q394" s="1872"/>
      <c r="R394" s="1872"/>
      <c r="S394" s="1872"/>
      <c r="T394" s="1872"/>
      <c r="U394" s="1872"/>
      <c r="V394" s="1872"/>
      <c r="W394" s="1872"/>
      <c r="X394" s="1872"/>
      <c r="Y394" s="1872"/>
      <c r="Z394" s="1872"/>
      <c r="AA394" s="1872"/>
      <c r="AB394" s="1872"/>
      <c r="AC394" s="1872"/>
      <c r="AD394" s="1872"/>
      <c r="AE394" s="1872"/>
      <c r="AF394" s="187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124</v>
      </c>
      <c r="D399" s="1116"/>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963</v>
      </c>
      <c r="AG399" s="1546"/>
      <c r="AH399" s="1546"/>
      <c r="AI399" s="1546"/>
      <c r="AJ399" s="1546"/>
      <c r="AK399" s="1546"/>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6"/>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319</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1783</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6"/>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319</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124</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962</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6"/>
      <c r="E414" s="698" t="s">
        <v>193</v>
      </c>
      <c r="F414" s="1701" t="s">
        <v>1787</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319</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1789</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6"/>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962</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1" t="s">
        <v>1790</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5"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108</v>
      </c>
      <c r="D432" s="1116"/>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319</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1" t="s">
        <v>1791</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108</v>
      </c>
      <c r="D444" s="1116"/>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1" t="s">
        <v>1794</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6"/>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967</v>
      </c>
      <c r="F455" s="1701" t="s">
        <v>969</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9" t="s">
        <v>319</v>
      </c>
      <c r="AG455" s="1869"/>
      <c r="AH455" s="1869"/>
      <c r="AI455" s="1869"/>
      <c r="AJ455" s="1869"/>
      <c r="AK455" s="1869"/>
      <c r="AL455" s="1870"/>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5" t="s">
        <v>124</v>
      </c>
      <c r="D459" s="1706"/>
      <c r="E459" s="698" t="s">
        <v>968</v>
      </c>
      <c r="F459" s="1701" t="s">
        <v>1831</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9" t="s">
        <v>319</v>
      </c>
      <c r="AG459" s="1869"/>
      <c r="AH459" s="1869"/>
      <c r="AI459" s="1869"/>
      <c r="AJ459" s="1869"/>
      <c r="AK459" s="1869"/>
      <c r="AL459" s="1870"/>
      <c r="AM459"/>
      <c r="AN459" s="670"/>
      <c r="AO459" s="4" t="s">
        <v>1335</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1331</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1332</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1" t="s">
        <v>1832</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975</v>
      </c>
      <c r="BA465" s="345" t="s">
        <v>976</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9" t="s">
        <v>124</v>
      </c>
      <c r="D468" s="1116"/>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319</v>
      </c>
      <c r="AG468" s="1546"/>
      <c r="AH468" s="1546"/>
      <c r="AI468" s="1546"/>
      <c r="AJ468" s="1546"/>
      <c r="AK468" s="1546"/>
      <c r="AL468" s="1700"/>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6" t="s">
        <v>1257</v>
      </c>
      <c r="AF477" s="1546"/>
      <c r="AG477" s="1546"/>
      <c r="AH477" s="1546"/>
      <c r="AI477" s="1546"/>
      <c r="AJ477" s="1546"/>
      <c r="AK477" s="1546"/>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8" t="s">
        <v>124</v>
      </c>
      <c r="D483" s="1709"/>
      <c r="E483" s="749" t="s">
        <v>195</v>
      </c>
      <c r="F483" s="1710" t="s">
        <v>972</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1334</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3" t="s">
        <v>657</v>
      </c>
      <c r="AV504" s="1874"/>
      <c r="AW504" s="1874"/>
      <c r="AX504" s="1874"/>
      <c r="AY504" s="1874"/>
      <c r="AZ504" s="1874"/>
      <c r="BA504" s="1874"/>
      <c r="BB504" s="20"/>
      <c r="BC504" s="20"/>
      <c r="BE504" s="4"/>
      <c r="BF504" s="4"/>
      <c r="BG504" s="4"/>
      <c r="BH504" s="4"/>
      <c r="BI504" s="4"/>
      <c r="BJ504" s="1812" t="s">
        <v>30</v>
      </c>
      <c r="BK504" s="1813"/>
      <c r="BL504" s="1813"/>
      <c r="BM504" s="1813"/>
      <c r="BN504" s="1813"/>
      <c r="BO504" s="1813"/>
      <c r="BP504" s="181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3"/>
      <c r="AV505" s="1874"/>
      <c r="AW505" s="1874"/>
      <c r="AX505" s="1874"/>
      <c r="AY505" s="1874"/>
      <c r="AZ505" s="1874"/>
      <c r="BA505" s="1874"/>
      <c r="BB505" s="20"/>
      <c r="BC505" s="20"/>
      <c r="BE505" s="4"/>
      <c r="BF505" s="4"/>
      <c r="BG505" s="4"/>
      <c r="BH505" s="4"/>
      <c r="BI505" s="4"/>
      <c r="BJ505" s="1812"/>
      <c r="BK505" s="1813"/>
      <c r="BL505" s="1813"/>
      <c r="BM505" s="1813"/>
      <c r="BN505" s="1813"/>
      <c r="BO505" s="1813"/>
      <c r="BP505" s="1813"/>
      <c r="BQ505" s="20"/>
      <c r="BR505" s="4"/>
    </row>
    <row r="506" spans="1:147" customFormat="1" ht="12.75" hidden="1" customHeight="1">
      <c r="A506" s="120"/>
      <c r="B506" s="4"/>
      <c r="C506" s="1708" t="s">
        <v>124</v>
      </c>
      <c r="D506" s="1709"/>
      <c r="E506" s="742" t="s">
        <v>195</v>
      </c>
      <c r="F506" s="1710" t="s">
        <v>972</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5" t="s">
        <v>1498</v>
      </c>
      <c r="AQ507" s="1286"/>
      <c r="AR507" s="1287"/>
      <c r="AS507" s="624">
        <v>80</v>
      </c>
      <c r="AT507" s="4">
        <v>0</v>
      </c>
      <c r="AU507" s="160">
        <v>10</v>
      </c>
      <c r="AV507" s="160">
        <v>25</v>
      </c>
      <c r="AW507" s="160">
        <v>37.5</v>
      </c>
      <c r="AX507" s="160">
        <v>35</v>
      </c>
      <c r="AY507" s="160">
        <v>37.5</v>
      </c>
      <c r="AZ507" s="160">
        <v>50</v>
      </c>
      <c r="BA507" s="160">
        <v>50</v>
      </c>
      <c r="BB507" s="21"/>
      <c r="BC507" s="21"/>
      <c r="BE507" s="1285" t="s">
        <v>1498</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974</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302</v>
      </c>
      <c r="F510" s="1712" t="s">
        <v>1158</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8" t="s">
        <v>124</v>
      </c>
      <c r="D515" s="1709"/>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1"/>
      <c r="D517" s="142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6" t="s">
        <v>124</v>
      </c>
      <c r="H518" s="1876"/>
      <c r="I518" s="1876"/>
      <c r="J518" s="1876"/>
      <c r="K518" s="1876"/>
      <c r="L518" s="1876"/>
      <c r="M518" s="1876"/>
      <c r="N518" s="1876"/>
      <c r="O518" s="1876"/>
      <c r="P518" s="1876"/>
      <c r="Q518" s="1876"/>
      <c r="R518" s="1876"/>
      <c r="S518" s="1876"/>
      <c r="T518" s="1876"/>
      <c r="U518" s="1876"/>
      <c r="V518" s="1876"/>
      <c r="W518" s="1876"/>
      <c r="X518" s="1876"/>
      <c r="Y518" s="1876"/>
      <c r="Z518" s="1876"/>
      <c r="AA518" s="1876"/>
      <c r="AB518" s="1876"/>
      <c r="AC518" s="1876"/>
      <c r="AD518" s="1876"/>
      <c r="AE518" s="1876"/>
      <c r="AF518" s="1876"/>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7" t="s">
        <v>124</v>
      </c>
      <c r="D520" s="187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7" t="s">
        <v>124</v>
      </c>
      <c r="D524" s="1878"/>
      <c r="F524" s="496" t="s">
        <v>874</v>
      </c>
      <c r="G524" s="1646" t="s">
        <v>983</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8">
        <f>BJ528</f>
        <v>20</v>
      </c>
      <c r="BE524" s="185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8">
        <f>SUM(E581:J589)</f>
        <v>20</v>
      </c>
      <c r="BE525" s="185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1">
        <v>0</v>
      </c>
      <c r="BK526" s="1862"/>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1">
        <f>Application!AG431</f>
        <v>0</v>
      </c>
      <c r="BK527" s="1862"/>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1">
        <f>Application!AG433</f>
        <v>20</v>
      </c>
      <c r="BK528" s="1862"/>
      <c r="BM528" s="1748"/>
      <c r="BN528" s="1749"/>
      <c r="BO528" s="1748"/>
      <c r="BP528" s="1749"/>
      <c r="BQ528" s="1761"/>
      <c r="BR528" s="1763"/>
      <c r="BS528" s="1761"/>
      <c r="BT528" s="1763"/>
      <c r="BU528" s="1748">
        <f>IF(T611&gt;0,1,0)</f>
        <v>1</v>
      </c>
      <c r="BV528" s="1749"/>
      <c r="BW528" s="1748">
        <f>IF(Y611&gt;=0.1,1,0)</f>
        <v>1</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1</v>
      </c>
      <c r="CD530" s="1749"/>
      <c r="CE530" s="1748">
        <f>IF(Y613&gt;=0.1,1,0)</f>
        <v>1</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1</v>
      </c>
      <c r="BN531" s="1749"/>
      <c r="BO531" s="1748">
        <f>SUM(BO526:BP530)</f>
        <v>1</v>
      </c>
      <c r="BP531" s="1749"/>
      <c r="BQ531" s="1748">
        <f>SUM(BQ526:BR530)</f>
        <v>0</v>
      </c>
      <c r="BR531" s="1749"/>
      <c r="BS531" s="1748">
        <f>SUM(BS526:BT530)</f>
        <v>0</v>
      </c>
      <c r="BT531" s="1749"/>
      <c r="BU531" s="1748">
        <f>SUM(BU526:BV530)</f>
        <v>1</v>
      </c>
      <c r="BV531" s="1749"/>
      <c r="BW531" s="1748">
        <f>SUM(BW526:BX530)</f>
        <v>1</v>
      </c>
      <c r="BX531" s="1749"/>
      <c r="BY531" s="1748">
        <f>SUM(BY526:BZ530)</f>
        <v>1</v>
      </c>
      <c r="BZ531" s="1749"/>
      <c r="CA531" s="1748">
        <f>SUM(CA526:CB530)</f>
        <v>1</v>
      </c>
      <c r="CB531" s="1749"/>
      <c r="CC531" s="1748">
        <f>SUM(CC526:CD530)</f>
        <v>1</v>
      </c>
      <c r="CD531" s="1749"/>
      <c r="CE531" s="1748">
        <f>SUM(CE526:CF530)</f>
        <v>1</v>
      </c>
      <c r="CF531" s="174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t="s">
        <v>455</v>
      </c>
      <c r="AQ532" s="1867"/>
      <c r="AR532" s="1867"/>
      <c r="AS532" s="1867"/>
      <c r="AT532" s="1868"/>
      <c r="AU532" s="1866" t="s">
        <v>456</v>
      </c>
      <c r="AV532" s="1867"/>
      <c r="AW532" s="1867"/>
      <c r="AX532" s="1867"/>
      <c r="AY532" s="1868"/>
      <c r="BM532" s="1761">
        <f>SUM(BM531:BP531)</f>
        <v>2</v>
      </c>
      <c r="BN532" s="1762"/>
      <c r="BO532" s="1762"/>
      <c r="BP532" s="1763"/>
      <c r="BQ532" s="1761">
        <f>SUM(BQ531:BT531)</f>
        <v>0</v>
      </c>
      <c r="BR532" s="1762"/>
      <c r="BS532" s="1762"/>
      <c r="BT532" s="1763"/>
      <c r="BU532" s="1761">
        <f>SUM(BU531:BX531)</f>
        <v>2</v>
      </c>
      <c r="BV532" s="1762"/>
      <c r="BW532" s="1762"/>
      <c r="BX532" s="1763"/>
      <c r="BY532" s="1761">
        <f>SUM(BY531:CB531)</f>
        <v>2</v>
      </c>
      <c r="BZ532" s="1762"/>
      <c r="CA532" s="1762"/>
      <c r="CB532" s="1763"/>
      <c r="CC532" s="1761">
        <f>SUM(CC531:CF531)</f>
        <v>2</v>
      </c>
      <c r="CD532" s="1762"/>
      <c r="CE532" s="1762"/>
      <c r="CF532" s="1763"/>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RANK(T609,$T$609:$X$613,0)+COUNTIF($T$609:$X$613,T609)-1</f>
        <v>4</v>
      </c>
      <c r="AQ533" s="1864"/>
      <c r="AR533" s="1864"/>
      <c r="AS533" s="1864"/>
      <c r="AT533" s="1865"/>
      <c r="AU533" s="1863">
        <f>RANK(Y609,$Y$609:$AC$613,0)+COUNTIF($Y$609:$AC$613,Y609)-1</f>
        <v>4</v>
      </c>
      <c r="AV533" s="1864"/>
      <c r="AW533" s="1864"/>
      <c r="AX533" s="1864"/>
      <c r="AY533" s="1865"/>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RANK(T610,$T$609:$X$613,0)+COUNTIF($T$609:$X$613,T610)-1</f>
        <v>5</v>
      </c>
      <c r="AQ534" s="1864"/>
      <c r="AR534" s="1864"/>
      <c r="AS534" s="1864"/>
      <c r="AT534" s="1865"/>
      <c r="AU534" s="1863">
        <f>RANK(Y610,$Y$609:$AC$613,0)+COUNTIF($Y$609:$AC$613,Y610)-1</f>
        <v>5</v>
      </c>
      <c r="AV534" s="1864"/>
      <c r="AW534" s="1864"/>
      <c r="AX534" s="1864"/>
      <c r="AY534" s="1865"/>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3">
        <f>RANK(T611,$T$609:$X$613,0)+COUNTIF($T$609:$X$613,T611)-1</f>
        <v>4</v>
      </c>
      <c r="AQ535" s="1864"/>
      <c r="AR535" s="1864"/>
      <c r="AS535" s="1864"/>
      <c r="AT535" s="1865"/>
      <c r="AU535" s="1863">
        <f>RANK(Y611,$Y$609:$AC$613,0)+COUNTIF($Y$609:$AC$613,Y611)-1</f>
        <v>4</v>
      </c>
      <c r="AV535" s="1864"/>
      <c r="AW535" s="1864"/>
      <c r="AX535" s="1864"/>
      <c r="AY535" s="1865"/>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3">
        <f>RANK(T612,$T$609:$X$613,0)+COUNTIF($T$609:$X$613,T612)-1</f>
        <v>1</v>
      </c>
      <c r="AQ536" s="1864"/>
      <c r="AR536" s="1864"/>
      <c r="AS536" s="1864"/>
      <c r="AT536" s="1865"/>
      <c r="AU536" s="1863">
        <f>RANK(Y612,$Y$609:$AC$613,0)+COUNTIF($Y$609:$AC$613,Y612)-1</f>
        <v>4</v>
      </c>
      <c r="AV536" s="1864"/>
      <c r="AW536" s="1864"/>
      <c r="AX536" s="1864"/>
      <c r="AY536" s="1865"/>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3">
        <f>RANK(T613,$T$609:$X$613,0)+COUNTIF($T$609:$X$613,T613)-1</f>
        <v>2</v>
      </c>
      <c r="AQ537" s="1864"/>
      <c r="AR537" s="1864"/>
      <c r="AS537" s="1864"/>
      <c r="AT537" s="1865"/>
      <c r="AU537" s="1863">
        <f>RANK(Y613,$Y$609:$AC$613,0)+COUNTIF($Y$609:$AC$613,Y613)-1</f>
        <v>4</v>
      </c>
      <c r="AV537" s="1864"/>
      <c r="AW537" s="1864"/>
      <c r="AX537" s="1864"/>
      <c r="AY537" s="1865"/>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8">
        <f>SUM(O609:S613)</f>
        <v>20</v>
      </c>
      <c r="AZ541" s="1749"/>
      <c r="CG541"/>
      <c r="CH541" s="1793" t="s">
        <v>775</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8" t="str">
        <f>IF(AY541=BK568,"passed","failed")</f>
        <v>passed</v>
      </c>
      <c r="AT542" s="1753"/>
      <c r="AU542" s="1749"/>
      <c r="AV542" s="151"/>
      <c r="AW542" s="151"/>
      <c r="AX542" s="151"/>
      <c r="AY542" s="151"/>
      <c r="AZ542" s="152"/>
      <c r="CG542"/>
      <c r="CH542" s="1461"/>
      <c r="CI542" s="1462"/>
      <c r="CJ542" s="1462"/>
      <c r="CK542" s="1463"/>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365</v>
      </c>
      <c r="AF543" s="1684"/>
      <c r="AG543" s="1684"/>
      <c r="AH543" s="1684"/>
      <c r="AI543" s="1684"/>
      <c r="AJ543" s="1684"/>
      <c r="AK543" s="168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1"/>
      <c r="CI543" s="1462"/>
      <c r="CJ543" s="1462"/>
      <c r="CK543" s="1463"/>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716</v>
      </c>
      <c r="BJ544" s="1762"/>
      <c r="BK544" s="1762"/>
      <c r="BL544" s="1763"/>
      <c r="BM544" s="1761" t="s">
        <v>717</v>
      </c>
      <c r="BN544" s="1762"/>
      <c r="BO544" s="1762"/>
      <c r="BP544" s="1763"/>
      <c r="BQ544" s="1761" t="s">
        <v>718</v>
      </c>
      <c r="BR544" s="1762"/>
      <c r="BS544" s="1762"/>
      <c r="BT544" s="1763"/>
      <c r="BU544" s="1761" t="s">
        <v>719</v>
      </c>
      <c r="BV544" s="1762"/>
      <c r="BW544" s="1762"/>
      <c r="BX544" s="1763"/>
      <c r="BY544" s="1761" t="s">
        <v>224</v>
      </c>
      <c r="BZ544" s="1762"/>
      <c r="CA544" s="1762"/>
      <c r="CB544" s="1763"/>
      <c r="CC544"/>
      <c r="CG544"/>
      <c r="CH544" s="1461"/>
      <c r="CI544" s="1462"/>
      <c r="CJ544" s="1462"/>
      <c r="CK544" s="1463"/>
    </row>
    <row r="545" spans="1:89" s="4" customFormat="1" ht="12.75" customHeight="1">
      <c r="A545" s="3"/>
      <c r="B545" s="1875" t="s">
        <v>1719</v>
      </c>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K545" s="21"/>
      <c r="AL545" s="21"/>
      <c r="AN545" s="281"/>
      <c r="AP545" s="434" t="s">
        <v>613</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K546" s="163"/>
      <c r="AL546" s="163"/>
      <c r="AM546" s="163"/>
      <c r="AN546" s="281"/>
      <c r="AP546" s="437" t="s">
        <v>611</v>
      </c>
      <c r="AQ546" s="438"/>
      <c r="AR546" s="438"/>
      <c r="AS546" s="438"/>
      <c r="AT546" s="438"/>
      <c r="AU546" s="1783">
        <f>ROUNDUP(BK568*0.1,0)</f>
        <v>2</v>
      </c>
      <c r="AV546" s="1785"/>
      <c r="AW546" s="438"/>
      <c r="AX546" s="438">
        <f>AU546-AP548</f>
        <v>-18</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5"/>
      <c r="C548" s="1875"/>
      <c r="D548" s="1875"/>
      <c r="E548" s="1875"/>
      <c r="F548" s="1875"/>
      <c r="G548" s="1875"/>
      <c r="H548" s="1875"/>
      <c r="I548" s="1875"/>
      <c r="J548" s="1875"/>
      <c r="K548" s="1875"/>
      <c r="L548" s="1875"/>
      <c r="M548" s="1875"/>
      <c r="N548" s="1875"/>
      <c r="O548" s="1875"/>
      <c r="P548" s="1875"/>
      <c r="Q548" s="1875"/>
      <c r="R548" s="1875"/>
      <c r="S548" s="1875"/>
      <c r="T548" s="1875"/>
      <c r="U548" s="1875"/>
      <c r="V548" s="1875"/>
      <c r="W548" s="1875"/>
      <c r="X548" s="1875"/>
      <c r="Y548" s="1875"/>
      <c r="Z548" s="1875"/>
      <c r="AA548" s="1875"/>
      <c r="AB548" s="1875"/>
      <c r="AC548" s="1875"/>
      <c r="AD548" s="1875"/>
      <c r="AE548" s="1875"/>
      <c r="AF548" s="1875"/>
      <c r="AG548" s="1875"/>
      <c r="AH548" s="162"/>
      <c r="AI548" s="162"/>
      <c r="AJ548" s="162"/>
      <c r="AK548" s="163"/>
      <c r="AL548" s="163"/>
      <c r="AM548" s="163"/>
      <c r="AN548" s="281"/>
      <c r="AP548" s="1843">
        <f>SUM(T609:X613)</f>
        <v>20</v>
      </c>
      <c r="AQ548" s="1844"/>
      <c r="AR548" s="1844"/>
      <c r="AS548" s="1844"/>
      <c r="AT548" s="1845"/>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5"/>
      <c r="C549" s="1875"/>
      <c r="D549" s="1875"/>
      <c r="E549" s="1875"/>
      <c r="F549" s="1875"/>
      <c r="G549" s="1875"/>
      <c r="H549" s="1875"/>
      <c r="I549" s="1875"/>
      <c r="J549" s="1875"/>
      <c r="K549" s="1875"/>
      <c r="L549" s="1875"/>
      <c r="M549" s="1875"/>
      <c r="N549" s="1875"/>
      <c r="O549" s="1875"/>
      <c r="P549" s="1875"/>
      <c r="Q549" s="1875"/>
      <c r="R549" s="1875"/>
      <c r="S549" s="1875"/>
      <c r="T549" s="1875"/>
      <c r="U549" s="1875"/>
      <c r="V549" s="1875"/>
      <c r="W549" s="1875"/>
      <c r="X549" s="1875"/>
      <c r="Y549" s="1875"/>
      <c r="Z549" s="1875"/>
      <c r="AA549" s="1875"/>
      <c r="AB549" s="1875"/>
      <c r="AC549" s="1875"/>
      <c r="AD549" s="1875"/>
      <c r="AE549" s="1875"/>
      <c r="AF549" s="1875"/>
      <c r="AG549" s="1875"/>
      <c r="AH549" s="162"/>
      <c r="AI549" s="162"/>
      <c r="AJ549" s="162"/>
      <c r="AK549" s="163"/>
      <c r="AL549" s="163"/>
      <c r="AM549" s="163"/>
      <c r="AN549" s="281"/>
      <c r="AP549" s="440"/>
      <c r="AQ549" s="441"/>
      <c r="AR549" s="441"/>
      <c r="AS549" s="441"/>
      <c r="AT549" s="442" t="s">
        <v>606</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65" customHeight="1">
      <c r="B550" s="1875"/>
      <c r="C550" s="1875"/>
      <c r="D550" s="1875"/>
      <c r="E550" s="1875"/>
      <c r="F550" s="1875"/>
      <c r="G550" s="1875"/>
      <c r="H550" s="1875"/>
      <c r="I550" s="1875"/>
      <c r="J550" s="1875"/>
      <c r="K550" s="1875"/>
      <c r="L550" s="1875"/>
      <c r="M550" s="1875"/>
      <c r="N550" s="1875"/>
      <c r="O550" s="1875"/>
      <c r="P550" s="1875"/>
      <c r="Q550" s="1875"/>
      <c r="R550" s="1875"/>
      <c r="S550" s="1875"/>
      <c r="T550" s="1875"/>
      <c r="U550" s="1875"/>
      <c r="V550" s="1875"/>
      <c r="W550" s="1875"/>
      <c r="X550" s="1875"/>
      <c r="Y550" s="1875"/>
      <c r="Z550" s="1875"/>
      <c r="AA550" s="1875"/>
      <c r="AB550" s="1875"/>
      <c r="AC550" s="1875"/>
      <c r="AD550" s="1875"/>
      <c r="AE550" s="1875"/>
      <c r="AF550" s="1875"/>
      <c r="AG550" s="1875"/>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5" customHeight="1">
      <c r="B551" s="1764" t="s">
        <v>1499</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4" t="s">
        <v>1761</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606</v>
      </c>
      <c r="AU554" s="151"/>
      <c r="AV554" s="1748" t="str">
        <f>IF(BJ590&gt;0,"failed","passed")</f>
        <v>failed</v>
      </c>
      <c r="AW554" s="1753"/>
      <c r="AX554" s="1753"/>
      <c r="AY554" s="1749"/>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1500</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1760</v>
      </c>
      <c r="R559" s="1681"/>
      <c r="S559" s="1851" t="s">
        <v>204</v>
      </c>
      <c r="T559" s="1851"/>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713</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607</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1126</v>
      </c>
      <c r="BA565" s="1794" t="s">
        <v>714</v>
      </c>
      <c r="BB565" s="1795"/>
      <c r="BC565" s="1795"/>
      <c r="BD565" s="1795"/>
      <c r="BE565" s="1796"/>
      <c r="BF565" s="1758">
        <f>SUM(O609:S613)</f>
        <v>20</v>
      </c>
      <c r="BG565" s="1759"/>
      <c r="BH565" s="1759"/>
      <c r="BI565" s="1759"/>
      <c r="BJ565" s="1760"/>
      <c r="BK565" s="1663">
        <f>SUM(T609:X613)</f>
        <v>20</v>
      </c>
      <c r="BL565" s="1664"/>
      <c r="BM565" s="1664"/>
      <c r="BN565" s="1664"/>
      <c r="BO565" s="1665"/>
    </row>
    <row r="566" spans="1:96" s="4" customFormat="1" ht="12.75" customHeight="1">
      <c r="B566" s="35"/>
      <c r="I566" s="1288" t="s">
        <v>1498</v>
      </c>
      <c r="J566" s="1289"/>
      <c r="K566" s="1289"/>
      <c r="L566" s="1289"/>
      <c r="M566" s="1289"/>
      <c r="N566" s="1290"/>
      <c r="O566" s="1659">
        <v>0.5</v>
      </c>
      <c r="P566" s="1660"/>
      <c r="Q566" s="1672"/>
      <c r="R566" s="1673"/>
      <c r="S566" s="1662"/>
      <c r="T566" s="1662"/>
      <c r="U566" s="1694" t="s">
        <v>1502</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8"/>
      <c r="J567" s="1289"/>
      <c r="K567" s="1289"/>
      <c r="L567" s="1289"/>
      <c r="M567" s="1289"/>
      <c r="N567" s="1290"/>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8"/>
      <c r="J568" s="1289"/>
      <c r="K568" s="1289"/>
      <c r="L568" s="1289"/>
      <c r="M568" s="1289"/>
      <c r="N568" s="1290"/>
      <c r="O568" s="1659">
        <v>0.4</v>
      </c>
      <c r="P568" s="1660"/>
      <c r="Q568" s="1661"/>
      <c r="R568" s="1662"/>
      <c r="S568" s="1674" t="s">
        <v>1501</v>
      </c>
      <c r="T568" s="1674"/>
      <c r="U568" s="1676">
        <v>20</v>
      </c>
      <c r="V568" s="1676"/>
      <c r="W568" s="1676">
        <v>30</v>
      </c>
      <c r="X568" s="1676"/>
      <c r="Y568" s="1676"/>
      <c r="Z568" s="1676"/>
      <c r="AA568" s="1676"/>
      <c r="AB568" s="1676"/>
      <c r="AC568" s="1676"/>
      <c r="AD568" s="1676"/>
      <c r="AE568" s="1696"/>
      <c r="AF568" s="1697"/>
      <c r="AN568" s="281"/>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773">
        <f>BF565</f>
        <v>20</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59">
        <v>0.35</v>
      </c>
      <c r="P569" s="1660"/>
      <c r="Q569" s="1661"/>
      <c r="R569" s="1662"/>
      <c r="S569" s="1674" t="s">
        <v>1762</v>
      </c>
      <c r="T569" s="1674"/>
      <c r="U569" s="1676">
        <v>17.5</v>
      </c>
      <c r="V569" s="1676"/>
      <c r="W569" s="1676">
        <v>26.3</v>
      </c>
      <c r="X569" s="1676"/>
      <c r="Y569" s="1676">
        <v>35</v>
      </c>
      <c r="Z569" s="1676"/>
      <c r="AA569" s="1676"/>
      <c r="AB569" s="1676"/>
      <c r="AC569" s="1676">
        <v>50</v>
      </c>
      <c r="AD569" s="1676"/>
      <c r="AE569" s="1696"/>
      <c r="AF569" s="1697"/>
      <c r="AN569" s="281"/>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59">
        <v>0.3</v>
      </c>
      <c r="P570" s="1660"/>
      <c r="Q570" s="1661"/>
      <c r="R570" s="1662"/>
      <c r="S570" s="1674" t="s">
        <v>1763</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8"/>
      <c r="J571" s="1289"/>
      <c r="K571" s="1289"/>
      <c r="L571" s="1289"/>
      <c r="M571" s="1289"/>
      <c r="N571" s="1290"/>
      <c r="O571" s="1659">
        <v>0.25</v>
      </c>
      <c r="P571" s="1660"/>
      <c r="Q571" s="1661"/>
      <c r="R571" s="1662"/>
      <c r="S571" s="1674" t="s">
        <v>1764</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5">
        <f t="shared" ref="AU571:AU576" si="1">O608</f>
        <v>0</v>
      </c>
      <c r="AV571" s="1376"/>
      <c r="AW571" s="1376"/>
      <c r="AX571" s="1376"/>
      <c r="AY571" s="1377"/>
      <c r="AZ571" s="1375">
        <f t="shared" ref="AZ571:AZ576" si="2">T608</f>
        <v>0</v>
      </c>
      <c r="BA571" s="1376"/>
      <c r="BB571" s="1376"/>
      <c r="BC571" s="1376"/>
      <c r="BD571" s="1377"/>
      <c r="BE571" s="1750">
        <f t="shared" ref="BE571:BE576" si="3">Y608</f>
        <v>0</v>
      </c>
      <c r="BF571" s="1751"/>
      <c r="BG571" s="1751"/>
      <c r="BH571" s="1751"/>
      <c r="BI571" s="1752"/>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8"/>
      <c r="J572" s="1289"/>
      <c r="K572" s="1289"/>
      <c r="L572" s="1289"/>
      <c r="M572" s="1289"/>
      <c r="N572" s="1290"/>
      <c r="O572" s="1659">
        <v>0.2</v>
      </c>
      <c r="P572" s="1660"/>
      <c r="Q572" s="1661"/>
      <c r="R572" s="1662"/>
      <c r="S572" s="1690" t="s">
        <v>1767</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5">
        <f t="shared" si="1"/>
        <v>1</v>
      </c>
      <c r="AV572" s="1376"/>
      <c r="AW572" s="1376"/>
      <c r="AX572" s="1376"/>
      <c r="AY572" s="1377"/>
      <c r="AZ572" s="1375">
        <f t="shared" si="2"/>
        <v>1</v>
      </c>
      <c r="BA572" s="1376"/>
      <c r="BB572" s="1376"/>
      <c r="BC572" s="1376"/>
      <c r="BD572" s="1377"/>
      <c r="BE572" s="1750">
        <f t="shared" si="3"/>
        <v>1</v>
      </c>
      <c r="BF572" s="1751"/>
      <c r="BG572" s="1751"/>
      <c r="BH572" s="1751"/>
      <c r="BI572" s="1752"/>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8"/>
      <c r="J573" s="1289"/>
      <c r="K573" s="1289"/>
      <c r="L573" s="1289"/>
      <c r="M573" s="1289"/>
      <c r="N573" s="1290"/>
      <c r="O573" s="1659">
        <v>0.15</v>
      </c>
      <c r="P573" s="1660"/>
      <c r="Q573" s="1661"/>
      <c r="R573" s="1662"/>
      <c r="S573" s="1674" t="s">
        <v>1765</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5">
        <f t="shared" si="1"/>
        <v>0</v>
      </c>
      <c r="AV573" s="1376"/>
      <c r="AW573" s="1376"/>
      <c r="AX573" s="1376"/>
      <c r="AY573" s="1377"/>
      <c r="AZ573" s="1375">
        <f t="shared" si="2"/>
        <v>0</v>
      </c>
      <c r="BA573" s="1376"/>
      <c r="BB573" s="1376"/>
      <c r="BC573" s="1376"/>
      <c r="BD573" s="1377"/>
      <c r="BE573" s="1750">
        <f t="shared" si="3"/>
        <v>0</v>
      </c>
      <c r="BF573" s="1751"/>
      <c r="BG573" s="1751"/>
      <c r="BH573" s="1751"/>
      <c r="BI573" s="1752"/>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91"/>
      <c r="J574" s="1292"/>
      <c r="K574" s="1292"/>
      <c r="L574" s="1292"/>
      <c r="M574" s="1292"/>
      <c r="N574" s="1293"/>
      <c r="O574" s="1659">
        <v>0.1</v>
      </c>
      <c r="P574" s="1660"/>
      <c r="Q574" s="1688"/>
      <c r="R574" s="1689"/>
      <c r="S574" s="1674" t="s">
        <v>1766</v>
      </c>
      <c r="T574" s="1674"/>
      <c r="U574" s="1677">
        <v>5</v>
      </c>
      <c r="V574" s="1677"/>
      <c r="W574" s="1677">
        <v>7.5</v>
      </c>
      <c r="X574" s="1677"/>
      <c r="Y574" s="1677">
        <v>10</v>
      </c>
      <c r="Z574" s="1677"/>
      <c r="AA574" s="1677">
        <v>12.5</v>
      </c>
      <c r="AB574" s="1677"/>
      <c r="AC574" s="1677">
        <v>15</v>
      </c>
      <c r="AD574" s="1677"/>
      <c r="AE574" s="1879">
        <v>20</v>
      </c>
      <c r="AF574" s="1880"/>
      <c r="AK574" s="167"/>
      <c r="AL574" s="167"/>
      <c r="AM574" s="5"/>
      <c r="AN574" s="281"/>
      <c r="AP574" s="1755" t="str">
        <f t="shared" si="0"/>
        <v>2 BR</v>
      </c>
      <c r="AQ574" s="1756"/>
      <c r="AR574" s="1756"/>
      <c r="AS574" s="1756"/>
      <c r="AT574" s="1757"/>
      <c r="AU574" s="1375">
        <f t="shared" si="1"/>
        <v>1</v>
      </c>
      <c r="AV574" s="1376"/>
      <c r="AW574" s="1376"/>
      <c r="AX574" s="1376"/>
      <c r="AY574" s="1377"/>
      <c r="AZ574" s="1375">
        <f t="shared" si="2"/>
        <v>1</v>
      </c>
      <c r="BA574" s="1376"/>
      <c r="BB574" s="1376"/>
      <c r="BC574" s="1376"/>
      <c r="BD574" s="1377"/>
      <c r="BE574" s="1750">
        <f t="shared" si="3"/>
        <v>1</v>
      </c>
      <c r="BF574" s="1751"/>
      <c r="BG574" s="1751"/>
      <c r="BH574" s="1751"/>
      <c r="BI574" s="1752"/>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7"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5" t="str">
        <f t="shared" si="0"/>
        <v>1 BR</v>
      </c>
      <c r="AQ575" s="1756"/>
      <c r="AR575" s="1756"/>
      <c r="AS575" s="1756"/>
      <c r="AT575" s="1757"/>
      <c r="AU575" s="1375">
        <f t="shared" si="1"/>
        <v>10</v>
      </c>
      <c r="AV575" s="1376"/>
      <c r="AW575" s="1376"/>
      <c r="AX575" s="1376"/>
      <c r="AY575" s="1377"/>
      <c r="AZ575" s="1375">
        <f t="shared" si="2"/>
        <v>10</v>
      </c>
      <c r="BA575" s="1376"/>
      <c r="BB575" s="1376"/>
      <c r="BC575" s="1376"/>
      <c r="BD575" s="1377"/>
      <c r="BE575" s="1750">
        <f t="shared" si="3"/>
        <v>1</v>
      </c>
      <c r="BF575" s="1751"/>
      <c r="BG575" s="1751"/>
      <c r="BH575" s="1751"/>
      <c r="BI575" s="1752"/>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6"/>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7"/>
      <c r="AN576" s="281"/>
      <c r="AP576" s="1755" t="str">
        <f t="shared" si="0"/>
        <v>SRO</v>
      </c>
      <c r="AQ576" s="1756"/>
      <c r="AR576" s="1756"/>
      <c r="AS576" s="1756"/>
      <c r="AT576" s="1757"/>
      <c r="AU576" s="1375">
        <f t="shared" si="1"/>
        <v>8</v>
      </c>
      <c r="AV576" s="1376"/>
      <c r="AW576" s="1376"/>
      <c r="AX576" s="1376"/>
      <c r="AY576" s="1377"/>
      <c r="AZ576" s="1375">
        <f t="shared" si="2"/>
        <v>8</v>
      </c>
      <c r="BA576" s="1376"/>
      <c r="BB576" s="1376"/>
      <c r="BC576" s="1376"/>
      <c r="BD576" s="1377"/>
      <c r="BE576" s="1750">
        <f t="shared" si="3"/>
        <v>1</v>
      </c>
      <c r="BF576" s="1751"/>
      <c r="BG576" s="1751"/>
      <c r="BH576" s="1751"/>
      <c r="BI576" s="1752"/>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6" t="s">
        <v>1508</v>
      </c>
      <c r="F577" s="1887"/>
      <c r="G577" s="1887"/>
      <c r="H577" s="1887"/>
      <c r="I577" s="1887"/>
      <c r="J577" s="1888"/>
      <c r="K577" s="1886" t="s">
        <v>1758</v>
      </c>
      <c r="L577" s="1887"/>
      <c r="M577" s="1887"/>
      <c r="N577" s="1887"/>
      <c r="O577" s="1887"/>
      <c r="P577" s="1888"/>
      <c r="Q577" s="1285" t="s">
        <v>1504</v>
      </c>
      <c r="R577" s="1286"/>
      <c r="S577" s="1286"/>
      <c r="T577" s="1286"/>
      <c r="U577" s="1286"/>
      <c r="V577" s="1287"/>
      <c r="W577" s="1285" t="str">
        <f>I566</f>
        <v>Percent of Low-Income Units (exclusive of manager’s units)</v>
      </c>
      <c r="X577" s="1286"/>
      <c r="Y577" s="1286"/>
      <c r="Z577" s="1286"/>
      <c r="AA577" s="1286"/>
      <c r="AB577" s="1287"/>
      <c r="AC577" s="1285" t="s">
        <v>1507</v>
      </c>
      <c r="AD577" s="1286"/>
      <c r="AE577" s="1286"/>
      <c r="AF577" s="1286"/>
      <c r="AG577" s="1286"/>
      <c r="AH577" s="1287"/>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9"/>
      <c r="F578" s="1890"/>
      <c r="G578" s="1890"/>
      <c r="H578" s="1890"/>
      <c r="I578" s="1890"/>
      <c r="J578" s="1891"/>
      <c r="K578" s="1889"/>
      <c r="L578" s="1890"/>
      <c r="M578" s="1890"/>
      <c r="N578" s="1890"/>
      <c r="O578" s="1890"/>
      <c r="P578" s="1891"/>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89"/>
      <c r="F579" s="1890"/>
      <c r="G579" s="1890"/>
      <c r="H579" s="1890"/>
      <c r="I579" s="1890"/>
      <c r="J579" s="1891"/>
      <c r="K579" s="1889"/>
      <c r="L579" s="1890"/>
      <c r="M579" s="1890"/>
      <c r="N579" s="1890"/>
      <c r="O579" s="1890"/>
      <c r="P579" s="1891"/>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89"/>
      <c r="F580" s="1890"/>
      <c r="G580" s="1890"/>
      <c r="H580" s="1890"/>
      <c r="I580" s="1890"/>
      <c r="J580" s="1891"/>
      <c r="K580" s="1889"/>
      <c r="L580" s="1890"/>
      <c r="M580" s="1890"/>
      <c r="N580" s="1890"/>
      <c r="O580" s="1890"/>
      <c r="P580" s="1891"/>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1127</v>
      </c>
      <c r="BH580" s="3" t="s">
        <v>1128</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794</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20</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100</v>
      </c>
      <c r="R582" s="1667"/>
      <c r="S582" s="1667"/>
      <c r="T582" s="1667"/>
      <c r="U582" s="1667"/>
      <c r="V582" s="1668"/>
      <c r="W582" s="1669">
        <f>IF(FLOOR(Q582,5)&gt;80,80,FLOOR(Q582,5))</f>
        <v>80</v>
      </c>
      <c r="X582" s="1670"/>
      <c r="Y582" s="1670"/>
      <c r="Z582" s="1670"/>
      <c r="AA582" s="1670"/>
      <c r="AB582" s="1671"/>
      <c r="AC582" s="1669">
        <f t="shared" si="4"/>
        <v>50</v>
      </c>
      <c r="AD582" s="1670"/>
      <c r="AE582" s="1670"/>
      <c r="AF582" s="1670"/>
      <c r="AG582" s="1670"/>
      <c r="AH582" s="1671"/>
      <c r="AN582" s="281"/>
      <c r="AO582" s="4">
        <v>4</v>
      </c>
      <c r="AP582" s="1663">
        <f t="shared" si="5"/>
        <v>0</v>
      </c>
      <c r="AQ582" s="1664"/>
      <c r="AR582" s="1664"/>
      <c r="AS582" s="1664"/>
      <c r="AT582" s="1665"/>
      <c r="AX582" s="1771" t="s">
        <v>616</v>
      </c>
      <c r="AY582" s="1772"/>
      <c r="AZ582" s="1075" t="s">
        <v>616</v>
      </c>
      <c r="BA582" s="1076"/>
      <c r="BB582" s="1771" t="s">
        <v>265</v>
      </c>
      <c r="BC582" s="1772"/>
      <c r="BD582" s="1761" t="s">
        <v>265</v>
      </c>
      <c r="BE582" s="1763"/>
      <c r="BF582" s="1771" t="s">
        <v>264</v>
      </c>
      <c r="BG582" s="1772"/>
      <c r="BH582" s="1761" t="s">
        <v>264</v>
      </c>
      <c r="BI582" s="1763"/>
      <c r="BJ582" s="1771" t="s">
        <v>263</v>
      </c>
      <c r="BK582" s="1772"/>
      <c r="BL582" s="1761" t="s">
        <v>263</v>
      </c>
      <c r="BM582" s="1763"/>
      <c r="BN582" s="1771" t="s">
        <v>615</v>
      </c>
      <c r="BO582" s="1772"/>
      <c r="BP582" s="1761" t="s">
        <v>615</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1</v>
      </c>
      <c r="BE583" s="1763"/>
      <c r="BF583" s="1769"/>
      <c r="BG583" s="1770"/>
      <c r="BH583" s="1761">
        <f>IF(AND(T609&gt;0,AP533&gt;0),1,0)</f>
        <v>1</v>
      </c>
      <c r="BI583" s="1763"/>
      <c r="BJ583" s="1769"/>
      <c r="BK583" s="1770"/>
      <c r="BL583" s="1761">
        <f>IF(AND(T609&gt;0,AP533&gt;0),1,0)</f>
        <v>1</v>
      </c>
      <c r="BM583" s="1763"/>
      <c r="BN583" s="1769"/>
      <c r="BO583" s="1770"/>
      <c r="BP583" s="1761">
        <f>IF(AND(T609&gt;0,AP533&gt;0),1,0)</f>
        <v>1</v>
      </c>
      <c r="BQ583" s="1763"/>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1</v>
      </c>
      <c r="BM585" s="1763"/>
      <c r="BN585" s="1769"/>
      <c r="BO585" s="1770"/>
      <c r="BP585" s="1761">
        <f>IF(AND(T611&gt;0,AP535&gt;0),1,0)</f>
        <v>1</v>
      </c>
      <c r="BQ585" s="1763"/>
    </row>
    <row r="586" spans="5:96" s="4" customFormat="1" ht="12.75" customHeight="1">
      <c r="E586" s="1647"/>
      <c r="F586" s="1648"/>
      <c r="G586" s="1648"/>
      <c r="H586" s="1648"/>
      <c r="I586" s="1648"/>
      <c r="J586" s="1649"/>
      <c r="K586" s="1663">
        <f>IF(OR(Application!D211="Rural",Application!D211="Rural apportionment (Section 514)",Application!D211="Rural apportionment (Section 515)",Application!D211="Rural apportionment (CDBG-DR)",Application!D211="Rural apportionment (HOME)",Application!D211="Rural (Native American apportionment)"),"",50)</f>
        <v>50</v>
      </c>
      <c r="L586" s="1664"/>
      <c r="M586" s="1664"/>
      <c r="N586" s="1664"/>
      <c r="O586" s="1664"/>
      <c r="P586" s="1665"/>
      <c r="Q586" s="1666">
        <f t="shared" si="6"/>
        <v>0</v>
      </c>
      <c r="R586" s="1667"/>
      <c r="S586" s="1667"/>
      <c r="T586" s="1667"/>
      <c r="U586" s="1667"/>
      <c r="V586" s="1668"/>
      <c r="W586" s="1669">
        <f>IF(FLOOR(Q586,5)&gt;40,40,FLOOR(Q586,5))</f>
        <v>0</v>
      </c>
      <c r="X586" s="1670"/>
      <c r="Y586" s="1670"/>
      <c r="Z586" s="1670"/>
      <c r="AA586" s="1670"/>
      <c r="AB586" s="1671"/>
      <c r="AC586" s="1669">
        <f t="shared" si="4"/>
        <v>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c r="F587" s="1741"/>
      <c r="G587" s="1741"/>
      <c r="H587" s="1741"/>
      <c r="I587" s="1741"/>
      <c r="J587" s="1742"/>
      <c r="K587" s="1736" t="str">
        <f>IF(OR(Application!D211="Rural",Application!D211="Rural apportionment (Section 514)",Application!D211="Rural apportionment (Section 515)",Application!D211="Rural apportionment (HOME)",Application!D211="Rural apportionment (CDBG-DR)",Application!D211="Rural (Native American apportionment)"),50,"")</f>
        <v/>
      </c>
      <c r="L587" s="1737"/>
      <c r="M587" s="1738" t="s">
        <v>2312</v>
      </c>
      <c r="N587" s="1738"/>
      <c r="O587" s="1738"/>
      <c r="P587" s="1739"/>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t="str">
        <f>IF(OR(Application!D211="Rural",Application!D211="Rural apportionment (Section 514)",Application!D211="Rural apportionment (Section 515)",Application!D211="Rural apportionment (HOME)",Application!D211="Rural apportionment (CDBG-DR)",Application!D211="Rural (Native American apportionment)"),55,"")</f>
        <v/>
      </c>
      <c r="L588" s="1737"/>
      <c r="M588" s="1738" t="s">
        <v>2312</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1</v>
      </c>
      <c r="BE588" s="1763"/>
      <c r="BF588" s="1771">
        <f>SUM(BF585:BG587)</f>
        <v>0</v>
      </c>
      <c r="BG588" s="1772"/>
      <c r="BH588" s="1761">
        <f>SUM(BH583:BI587)</f>
        <v>1</v>
      </c>
      <c r="BI588" s="1763"/>
      <c r="BJ588" s="1771">
        <f>SUM(BJ583:BK587)</f>
        <v>1</v>
      </c>
      <c r="BK588" s="1772"/>
      <c r="BL588" s="1761">
        <f>SUM(BL583:BM587)</f>
        <v>2</v>
      </c>
      <c r="BM588" s="1763"/>
      <c r="BN588" s="1771">
        <f>SUM(BN583:BO587)</f>
        <v>0</v>
      </c>
      <c r="BO588" s="1772"/>
      <c r="BP588" s="1761">
        <f>SUM(BP583:BQ587)</f>
        <v>3</v>
      </c>
      <c r="BQ588" s="1763"/>
    </row>
    <row r="589" spans="5:96" s="4" customFormat="1" ht="12.75" customHeight="1">
      <c r="E589" s="1647"/>
      <c r="F589" s="1648"/>
      <c r="G589" s="1648"/>
      <c r="H589" s="1648"/>
      <c r="I589" s="1648"/>
      <c r="J589" s="1649"/>
      <c r="K589" s="1663" t="s">
        <v>2128</v>
      </c>
      <c r="L589" s="1664"/>
      <c r="M589" s="1664"/>
      <c r="N589" s="1664"/>
      <c r="O589" s="1664"/>
      <c r="P589" s="1665"/>
      <c r="Q589" s="1666">
        <f t="shared" si="6"/>
        <v>0</v>
      </c>
      <c r="R589" s="1667"/>
      <c r="S589" s="1667"/>
      <c r="T589" s="1667"/>
      <c r="U589" s="1667"/>
      <c r="V589" s="1668"/>
      <c r="W589" s="1669">
        <f t="shared" si="7"/>
        <v>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1</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2129</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610</v>
      </c>
      <c r="BJ590" s="1766">
        <f>AX589+BB589+BF589+BJ589+BN589</f>
        <v>1</v>
      </c>
      <c r="BK590" s="1767"/>
      <c r="BL590" s="1767"/>
      <c r="BM590" s="1768"/>
      <c r="BN590"/>
      <c r="BO590"/>
      <c r="BP590"/>
      <c r="BQ590"/>
    </row>
    <row r="591" spans="5:96" s="4" customFormat="1" ht="12.75" customHeight="1">
      <c r="E591" s="1647"/>
      <c r="F591" s="1648"/>
      <c r="G591" s="1648"/>
      <c r="H591" s="1648"/>
      <c r="I591" s="1648"/>
      <c r="J591" s="1649"/>
      <c r="K591" s="1663" t="s">
        <v>2130</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609</v>
      </c>
      <c r="BK591"/>
      <c r="BL591"/>
      <c r="BM591"/>
      <c r="BN591"/>
      <c r="BO591"/>
      <c r="BP591"/>
      <c r="BQ591"/>
    </row>
    <row r="592" spans="5:96" s="4" customFormat="1" ht="12.75" customHeight="1">
      <c r="E592" s="1715">
        <f>SUM(E581:J591)</f>
        <v>20</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605</v>
      </c>
      <c r="AC592" s="1848">
        <f>IF(SUM(AC581:AH591)&gt;0,SUM(AC581:AH591),0)</f>
        <v>50</v>
      </c>
      <c r="AD592" s="1849"/>
      <c r="AE592" s="1849"/>
      <c r="AF592" s="1849"/>
      <c r="AG592" s="1849"/>
      <c r="AH592" s="18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2" t="s">
        <v>103</v>
      </c>
      <c r="AH596" s="1692"/>
      <c r="AI596" s="1692"/>
      <c r="AJ596" s="1692"/>
      <c r="AK596" s="5"/>
      <c r="AL596" s="5"/>
      <c r="AM596" s="5"/>
      <c r="AN596" s="281"/>
    </row>
    <row r="597" spans="1:64" s="4" customFormat="1" ht="12.75" customHeight="1">
      <c r="B597" s="1875" t="s">
        <v>2118</v>
      </c>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I597" s="21"/>
      <c r="AJ597" s="21"/>
      <c r="AK597"/>
      <c r="AL597"/>
      <c r="AM597"/>
      <c r="AN597" s="281"/>
    </row>
    <row r="598" spans="1:64" s="4" customFormat="1" ht="12.75" customHeight="1">
      <c r="A598" s="2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c r="AI598" s="21"/>
      <c r="AJ598" s="21"/>
      <c r="AK598"/>
      <c r="AL598"/>
      <c r="AM598"/>
      <c r="AN598" s="281"/>
    </row>
    <row r="599" spans="1:64" s="4" customFormat="1" ht="12.75" customHeight="1">
      <c r="A599" s="21"/>
      <c r="B599" s="1875"/>
      <c r="C599" s="1875"/>
      <c r="D599" s="1875"/>
      <c r="E599" s="1875"/>
      <c r="F599" s="1875"/>
      <c r="G599" s="1875"/>
      <c r="H599" s="1875"/>
      <c r="I599" s="1875"/>
      <c r="J599" s="1875"/>
      <c r="K599" s="1875"/>
      <c r="L599" s="1875"/>
      <c r="M599" s="1875"/>
      <c r="N599" s="1875"/>
      <c r="O599" s="1875"/>
      <c r="P599" s="1875"/>
      <c r="Q599" s="1875"/>
      <c r="R599" s="1875"/>
      <c r="S599" s="1875"/>
      <c r="T599" s="1875"/>
      <c r="U599" s="1875"/>
      <c r="V599" s="1875"/>
      <c r="W599" s="1875"/>
      <c r="X599" s="1875"/>
      <c r="Y599" s="1875"/>
      <c r="Z599" s="1875"/>
      <c r="AA599" s="1875"/>
      <c r="AB599" s="1875"/>
      <c r="AC599" s="1875"/>
      <c r="AD599" s="1875"/>
      <c r="AE599" s="1875"/>
      <c r="AF599" s="1875"/>
      <c r="AG599" s="1875"/>
      <c r="AH599" s="1875"/>
      <c r="AI599" s="21"/>
      <c r="AJ599" s="21"/>
      <c r="AK599"/>
      <c r="AL599"/>
      <c r="AM599"/>
      <c r="AN599" s="281"/>
    </row>
    <row r="600" spans="1:64" s="4" customFormat="1" ht="12.75" customHeight="1">
      <c r="A600" s="21"/>
      <c r="B600" s="1875"/>
      <c r="C600" s="1875"/>
      <c r="D600" s="1875"/>
      <c r="E600" s="1875"/>
      <c r="F600" s="1875"/>
      <c r="G600" s="1875"/>
      <c r="H600" s="1875"/>
      <c r="I600" s="1875"/>
      <c r="J600" s="1875"/>
      <c r="K600" s="1875"/>
      <c r="L600" s="1875"/>
      <c r="M600" s="1875"/>
      <c r="N600" s="1875"/>
      <c r="O600" s="1875"/>
      <c r="P600" s="1875"/>
      <c r="Q600" s="1875"/>
      <c r="R600" s="1875"/>
      <c r="S600" s="1875"/>
      <c r="T600" s="1875"/>
      <c r="U600" s="1875"/>
      <c r="V600" s="1875"/>
      <c r="W600" s="1875"/>
      <c r="X600" s="1875"/>
      <c r="Y600" s="1875"/>
      <c r="Z600" s="1875"/>
      <c r="AA600" s="1875"/>
      <c r="AB600" s="1875"/>
      <c r="AC600" s="1875"/>
      <c r="AD600" s="1875"/>
      <c r="AE600" s="1875"/>
      <c r="AF600" s="1875"/>
      <c r="AG600" s="1875"/>
      <c r="AH600" s="1875"/>
      <c r="AI600" s="21"/>
      <c r="AJ600" s="21"/>
      <c r="AK600"/>
      <c r="AL600"/>
      <c r="AM600"/>
      <c r="AN600" s="669"/>
    </row>
    <row r="601" spans="1:64">
      <c r="B601" s="1875"/>
      <c r="C601" s="1875"/>
      <c r="D601" s="1875"/>
      <c r="E601" s="1875"/>
      <c r="F601" s="1875"/>
      <c r="G601" s="1875"/>
      <c r="H601" s="1875"/>
      <c r="I601" s="1875"/>
      <c r="J601" s="1875"/>
      <c r="K601" s="1875"/>
      <c r="L601" s="1875"/>
      <c r="M601" s="1875"/>
      <c r="N601" s="1875"/>
      <c r="O601" s="1875"/>
      <c r="P601" s="1875"/>
      <c r="Q601" s="1875"/>
      <c r="R601" s="1875"/>
      <c r="S601" s="1875"/>
      <c r="T601" s="1875"/>
      <c r="U601" s="1875"/>
      <c r="V601" s="1875"/>
      <c r="W601" s="1875"/>
      <c r="X601" s="1875"/>
      <c r="Y601" s="1875"/>
      <c r="Z601" s="1875"/>
      <c r="AA601" s="1875"/>
      <c r="AB601" s="1875"/>
      <c r="AC601" s="1875"/>
      <c r="AD601" s="1875"/>
      <c r="AE601" s="1875"/>
      <c r="AF601" s="1875"/>
      <c r="AG601" s="1875"/>
      <c r="AH601" s="1875"/>
      <c r="AK601"/>
      <c r="AL601"/>
      <c r="AM601"/>
      <c r="BD601" s="21"/>
      <c r="BE601" s="21"/>
      <c r="BF601" s="21"/>
      <c r="BG601" s="21"/>
      <c r="BH601" s="21"/>
    </row>
    <row r="602" spans="1:64" ht="12.75" customHeight="1">
      <c r="B602" s="1875"/>
      <c r="C602" s="1875"/>
      <c r="D602" s="1875"/>
      <c r="E602" s="1875"/>
      <c r="F602" s="1875"/>
      <c r="G602" s="1875"/>
      <c r="H602" s="1875"/>
      <c r="I602" s="1875"/>
      <c r="J602" s="1875"/>
      <c r="K602" s="1875"/>
      <c r="L602" s="1875"/>
      <c r="M602" s="1875"/>
      <c r="N602" s="1875"/>
      <c r="O602" s="1875"/>
      <c r="P602" s="1875"/>
      <c r="Q602" s="1875"/>
      <c r="R602" s="1875"/>
      <c r="S602" s="1875"/>
      <c r="T602" s="1875"/>
      <c r="U602" s="1875"/>
      <c r="V602" s="1875"/>
      <c r="W602" s="1875"/>
      <c r="X602" s="1875"/>
      <c r="Y602" s="1875"/>
      <c r="Z602" s="1875"/>
      <c r="AA602" s="1875"/>
      <c r="AB602" s="1875"/>
      <c r="AC602" s="1875"/>
      <c r="AD602" s="1875"/>
      <c r="AE602" s="1875"/>
      <c r="AF602" s="1875"/>
      <c r="AG602" s="1875"/>
      <c r="AH602" s="1875"/>
    </row>
    <row r="603" spans="1:64" ht="12.75" customHeight="1">
      <c r="E603" s="162"/>
    </row>
    <row r="604" spans="1:64">
      <c r="J604" s="1809" t="s">
        <v>795</v>
      </c>
      <c r="K604" s="1810"/>
      <c r="L604" s="1810"/>
      <c r="M604" s="1810"/>
      <c r="N604" s="1811"/>
      <c r="O604" s="1285" t="s">
        <v>1505</v>
      </c>
      <c r="P604" s="1286"/>
      <c r="Q604" s="1286"/>
      <c r="R604" s="1286"/>
      <c r="S604" s="1287"/>
      <c r="T604" s="1285" t="s">
        <v>1768</v>
      </c>
      <c r="U604" s="1286"/>
      <c r="V604" s="1286"/>
      <c r="W604" s="1286"/>
      <c r="X604" s="1287"/>
      <c r="Y604" s="1285" t="s">
        <v>1506</v>
      </c>
      <c r="Z604" s="1286"/>
      <c r="AA604" s="1286"/>
      <c r="AB604" s="1286"/>
      <c r="AC604" s="1287"/>
      <c r="AF604"/>
      <c r="AG604"/>
      <c r="AH604"/>
      <c r="AI604"/>
      <c r="AJ604"/>
    </row>
    <row r="605" spans="1:64">
      <c r="D605"/>
      <c r="E605"/>
      <c r="F605"/>
      <c r="G605"/>
      <c r="H605"/>
      <c r="I605"/>
      <c r="J605" s="1812"/>
      <c r="K605" s="1813"/>
      <c r="L605" s="1813"/>
      <c r="M605" s="1813"/>
      <c r="N605" s="1814"/>
      <c r="O605" s="1288"/>
      <c r="P605" s="1289"/>
      <c r="Q605" s="1289"/>
      <c r="R605" s="1289"/>
      <c r="S605" s="1290"/>
      <c r="T605" s="1288"/>
      <c r="U605" s="1289"/>
      <c r="V605" s="1289"/>
      <c r="W605" s="1289"/>
      <c r="X605" s="1290"/>
      <c r="Y605" s="1288"/>
      <c r="Z605" s="1289"/>
      <c r="AA605" s="1289"/>
      <c r="AB605" s="1289"/>
      <c r="AC605" s="1290"/>
      <c r="AF605"/>
      <c r="AG605"/>
      <c r="AH605"/>
      <c r="AI605"/>
      <c r="AJ605"/>
      <c r="AO605" s="38" t="s">
        <v>2227</v>
      </c>
      <c r="AR605" s="21" t="b">
        <f>$Y$614&gt;=10%</f>
        <v>1</v>
      </c>
    </row>
    <row r="606" spans="1:64">
      <c r="I606"/>
      <c r="J606" s="1812"/>
      <c r="K606" s="1813"/>
      <c r="L606" s="1813"/>
      <c r="M606" s="1813"/>
      <c r="N606" s="1814"/>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2228</v>
      </c>
      <c r="AR606" s="955">
        <f>ROUNDUP(($O$614*10%),0)</f>
        <v>2</v>
      </c>
    </row>
    <row r="607" spans="1:64">
      <c r="D607"/>
      <c r="E607"/>
      <c r="F607"/>
      <c r="G607"/>
      <c r="H607"/>
      <c r="I607"/>
      <c r="J607" s="1812"/>
      <c r="K607" s="1813"/>
      <c r="L607" s="1813"/>
      <c r="M607" s="1813"/>
      <c r="N607" s="1814"/>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2229</v>
      </c>
      <c r="AR607" s="21" t="s">
        <v>2230</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1</v>
      </c>
      <c r="P609" s="1664"/>
      <c r="Q609" s="1664"/>
      <c r="R609" s="1664"/>
      <c r="S609" s="1665"/>
      <c r="T609" s="1663">
        <f>Application!DM627</f>
        <v>1</v>
      </c>
      <c r="U609" s="1664"/>
      <c r="V609" s="1664"/>
      <c r="W609" s="1664"/>
      <c r="X609" s="1665"/>
      <c r="Y609" s="1727">
        <f t="shared" si="8"/>
        <v>1</v>
      </c>
      <c r="Z609" s="1728"/>
      <c r="AA609" s="1728"/>
      <c r="AB609" s="1728"/>
      <c r="AC609" s="1729"/>
      <c r="AD609"/>
      <c r="AF609"/>
      <c r="AG609"/>
      <c r="AH609"/>
      <c r="AI609"/>
      <c r="AJ609"/>
      <c r="AO609" s="955">
        <f t="shared" ref="AO609:AO613" si="9">ROUNDUP((O609*10%),0)</f>
        <v>1</v>
      </c>
      <c r="AP609" s="206"/>
      <c r="AR609" s="956"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264</v>
      </c>
      <c r="K611" s="1725"/>
      <c r="L611" s="1725"/>
      <c r="M611" s="1725"/>
      <c r="N611" s="1726"/>
      <c r="O611" s="1663">
        <f>Application!BX626</f>
        <v>1</v>
      </c>
      <c r="P611" s="1664"/>
      <c r="Q611" s="1664"/>
      <c r="R611" s="1664"/>
      <c r="S611" s="1665"/>
      <c r="T611" s="1663">
        <f>Application!DC627</f>
        <v>1</v>
      </c>
      <c r="U611" s="1664"/>
      <c r="V611" s="1664"/>
      <c r="W611" s="1664"/>
      <c r="X611" s="1665"/>
      <c r="Y611" s="1727">
        <f t="shared" si="8"/>
        <v>1</v>
      </c>
      <c r="Z611" s="1728"/>
      <c r="AA611" s="1728"/>
      <c r="AB611" s="1728"/>
      <c r="AC611" s="1729"/>
      <c r="AD611"/>
      <c r="AF611"/>
      <c r="AG611"/>
      <c r="AH611"/>
      <c r="AI611"/>
      <c r="AJ611"/>
      <c r="AO611" s="955">
        <f t="shared" si="9"/>
        <v>1</v>
      </c>
      <c r="AP611" s="206"/>
      <c r="AR611" s="956" t="b">
        <f>OR(SUM($T$608:T611)&gt;=$AR$606,T611&gt;=AO611)</f>
        <v>1</v>
      </c>
    </row>
    <row r="612" spans="1:60">
      <c r="D612"/>
      <c r="E612"/>
      <c r="F612"/>
      <c r="G612"/>
      <c r="H612"/>
      <c r="I612"/>
      <c r="J612" s="1724" t="s">
        <v>263</v>
      </c>
      <c r="K612" s="1725"/>
      <c r="L612" s="1725"/>
      <c r="M612" s="1725"/>
      <c r="N612" s="1726"/>
      <c r="O612" s="1663">
        <f>Application!BS626</f>
        <v>10</v>
      </c>
      <c r="P612" s="1664"/>
      <c r="Q612" s="1664"/>
      <c r="R612" s="1664"/>
      <c r="S612" s="1665"/>
      <c r="T612" s="1663">
        <f>Application!CX627</f>
        <v>10</v>
      </c>
      <c r="U612" s="1664"/>
      <c r="V612" s="1664"/>
      <c r="W612" s="1664"/>
      <c r="X612" s="1665"/>
      <c r="Y612" s="1727">
        <f t="shared" si="8"/>
        <v>1</v>
      </c>
      <c r="Z612" s="1728"/>
      <c r="AA612" s="1728"/>
      <c r="AB612" s="1728"/>
      <c r="AC612" s="1729"/>
      <c r="AD612"/>
      <c r="AF612"/>
      <c r="AG612"/>
      <c r="AH612"/>
      <c r="AI612"/>
      <c r="AJ612"/>
      <c r="AO612" s="955">
        <f t="shared" si="9"/>
        <v>1</v>
      </c>
      <c r="AP612" s="206"/>
      <c r="AR612" s="956" t="b">
        <f>OR(SUM($T$608:T612)&gt;=$AR$606,T612&gt;=AO612)</f>
        <v>1</v>
      </c>
    </row>
    <row r="613" spans="1:60">
      <c r="D613"/>
      <c r="E613"/>
      <c r="F613"/>
      <c r="G613"/>
      <c r="H613"/>
      <c r="I613"/>
      <c r="J613" s="1724" t="s">
        <v>615</v>
      </c>
      <c r="K613" s="1725"/>
      <c r="L613" s="1725"/>
      <c r="M613" s="1725"/>
      <c r="N613" s="1726"/>
      <c r="O613" s="1663">
        <f>Application!BN626</f>
        <v>8</v>
      </c>
      <c r="P613" s="1664"/>
      <c r="Q613" s="1664"/>
      <c r="R613" s="1664"/>
      <c r="S613" s="1665"/>
      <c r="T613" s="1663">
        <f>Application!CS627</f>
        <v>8</v>
      </c>
      <c r="U613" s="1664"/>
      <c r="V613" s="1664"/>
      <c r="W613" s="1664"/>
      <c r="X613" s="1665"/>
      <c r="Y613" s="1727">
        <f>IF(T613&gt;0,T613/O613,0)</f>
        <v>1</v>
      </c>
      <c r="Z613" s="1728"/>
      <c r="AA613" s="1728"/>
      <c r="AB613" s="1728"/>
      <c r="AC613" s="1729"/>
      <c r="AD613"/>
      <c r="AF613"/>
      <c r="AG613"/>
      <c r="AH613"/>
      <c r="AI613"/>
      <c r="AJ613"/>
      <c r="AO613" s="955">
        <f t="shared" si="9"/>
        <v>1</v>
      </c>
      <c r="AP613" s="206"/>
      <c r="AR613" s="956" t="b">
        <f>OR(SUM($T$608:T613)&gt;=$AR$606,T613&gt;=AO613)</f>
        <v>1</v>
      </c>
    </row>
    <row r="614" spans="1:60">
      <c r="D614"/>
      <c r="E614"/>
      <c r="F614"/>
      <c r="G614"/>
      <c r="H614"/>
      <c r="I614"/>
      <c r="J614" s="1563" t="s">
        <v>876</v>
      </c>
      <c r="K614" s="1564"/>
      <c r="L614" s="1564"/>
      <c r="M614" s="1564"/>
      <c r="N614" s="1565"/>
      <c r="O614" s="1816">
        <f>SUM(O608:S613)</f>
        <v>20</v>
      </c>
      <c r="P614" s="1817"/>
      <c r="Q614" s="1817"/>
      <c r="R614" s="1817"/>
      <c r="S614" s="1818"/>
      <c r="T614" s="1816">
        <f>SUM(T608:X613)</f>
        <v>20</v>
      </c>
      <c r="U614" s="1817"/>
      <c r="V614" s="1817"/>
      <c r="W614" s="1817"/>
      <c r="X614" s="1818"/>
      <c r="Y614" s="1806">
        <f>IF(T614&gt;0,T614/O614,0)</f>
        <v>1</v>
      </c>
      <c r="Z614" s="1807"/>
      <c r="AA614" s="1807"/>
      <c r="AB614" s="1807"/>
      <c r="AC614" s="18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6">
        <f>IF(AND(AR605,AR608,AR609,AR610,AR611,AR612,AR613),2,0)</f>
        <v>2</v>
      </c>
      <c r="AK617" s="183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069">
        <f>IF($E$592=Application!G730,$AC$592+$AJ$617,0)</f>
        <v>52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6" t="s">
        <v>1510</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650" t="s">
        <v>2220</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0" t="s">
        <v>938</v>
      </c>
      <c r="AH627" s="1010"/>
      <c r="AI627" s="1010"/>
      <c r="AJ627" s="1010"/>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65"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6" t="s">
        <v>2225</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65"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65"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65"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65"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65"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65"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5"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108</v>
      </c>
      <c r="D650" s="1116"/>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46" t="s">
        <v>2212</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7" t="s">
        <v>722</v>
      </c>
      <c r="B691" s="1827"/>
      <c r="C691" s="1827"/>
      <c r="D691" s="1827"/>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1827"/>
      <c r="AD691" s="1827"/>
      <c r="AE691" s="1827"/>
      <c r="AF691" s="1827"/>
      <c r="AG691" s="1827"/>
      <c r="AH691" s="1827"/>
      <c r="AI691" s="1827"/>
      <c r="AJ691" s="1827"/>
      <c r="AK691" s="1827"/>
      <c r="AL691" s="1827"/>
      <c r="AM691" s="1827"/>
      <c r="AO691" s="206"/>
      <c r="AP691" s="206"/>
      <c r="AQ691" s="206"/>
    </row>
    <row r="692" spans="1:43">
      <c r="A692" s="1828"/>
      <c r="B692" s="1828"/>
      <c r="C692" s="1828"/>
      <c r="D692" s="1828"/>
      <c r="E692" s="1828"/>
      <c r="F692" s="1828"/>
      <c r="G692" s="1828"/>
      <c r="H692" s="1828"/>
      <c r="I692" s="1828"/>
      <c r="J692" s="1828"/>
      <c r="K692" s="1828"/>
      <c r="L692" s="1828"/>
      <c r="M692" s="1828"/>
      <c r="N692" s="1828"/>
      <c r="O692" s="1828"/>
      <c r="P692" s="1828"/>
      <c r="Q692" s="1828"/>
      <c r="R692" s="1828"/>
      <c r="S692" s="1828"/>
      <c r="T692" s="1828"/>
      <c r="U692" s="1828"/>
      <c r="V692" s="1828"/>
      <c r="W692" s="1828"/>
      <c r="X692" s="1828"/>
      <c r="Y692" s="1828"/>
      <c r="Z692" s="1828"/>
      <c r="AA692" s="1828"/>
      <c r="AB692" s="1828"/>
      <c r="AC692" s="1828"/>
      <c r="AD692" s="1828"/>
      <c r="AE692" s="1828"/>
      <c r="AF692" s="1828"/>
      <c r="AG692" s="1828"/>
      <c r="AH692" s="1828"/>
      <c r="AI692" s="1828"/>
      <c r="AJ692" s="1828"/>
      <c r="AK692" s="1828"/>
      <c r="AL692" s="1828"/>
      <c r="AM692" s="182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1941</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1942</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6"/>
      <c r="Z696" s="1167" t="s">
        <v>233</v>
      </c>
      <c r="AA696" s="1168"/>
      <c r="AB696" s="1168"/>
      <c r="AC696" s="1168"/>
      <c r="AD696" s="1168"/>
      <c r="AE696" s="1226"/>
      <c r="AF696" s="1167" t="s">
        <v>235</v>
      </c>
      <c r="AG696" s="1168"/>
      <c r="AH696" s="1168"/>
      <c r="AI696" s="1168"/>
      <c r="AJ696" s="1168"/>
      <c r="AK696" s="122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6"/>
      <c r="Z697" s="1171"/>
      <c r="AA697" s="1172"/>
      <c r="AB697" s="1172"/>
      <c r="AC697" s="1172"/>
      <c r="AD697" s="1172"/>
      <c r="AE697" s="1216"/>
      <c r="AF697" s="1171"/>
      <c r="AG697" s="1172"/>
      <c r="AH697" s="1172"/>
      <c r="AI697" s="1172"/>
      <c r="AJ697" s="1172"/>
      <c r="AK697" s="1216"/>
      <c r="AL697" s="778"/>
      <c r="AM697" s="20"/>
    </row>
    <row r="698" spans="1:43">
      <c r="A698" s="594" t="s">
        <v>653</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9"/>
      <c r="AG699" s="1829"/>
      <c r="AH699" s="1829"/>
      <c r="AI699" s="1829"/>
      <c r="AJ699" s="1829"/>
      <c r="AK699" s="1829"/>
      <c r="AL699" s="778"/>
      <c r="AM699" s="20"/>
    </row>
    <row r="700" spans="1:43">
      <c r="A700" s="616"/>
      <c r="B700" s="615"/>
      <c r="C700" s="615"/>
      <c r="D700" s="306" t="s">
        <v>428</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9"/>
      <c r="AG700" s="1829"/>
      <c r="AH700" s="1829"/>
      <c r="AI700" s="1829"/>
      <c r="AJ700" s="1829"/>
      <c r="AK700" s="1829"/>
      <c r="AL700" s="778"/>
      <c r="AM700" s="20"/>
    </row>
    <row r="701" spans="1:43">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7">
        <v>10</v>
      </c>
      <c r="AA701" s="1227"/>
      <c r="AB701" s="1227"/>
      <c r="AC701" s="1227"/>
      <c r="AD701" s="1227"/>
      <c r="AE701" s="1227"/>
      <c r="AF701" s="1227">
        <f>IF(T701&gt;Z701,Z701,T701)</f>
        <v>10</v>
      </c>
      <c r="AG701" s="1227"/>
      <c r="AH701" s="1227"/>
      <c r="AI701" s="1227"/>
      <c r="AJ701" s="1227"/>
      <c r="AK701" s="1227"/>
      <c r="AL701" s="778"/>
      <c r="AM701" s="20"/>
    </row>
    <row r="702" spans="1:43">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c r="A703" s="594"/>
      <c r="B703" s="615"/>
      <c r="C703" s="615"/>
      <c r="D703" s="306" t="s">
        <v>1468</v>
      </c>
      <c r="E703" s="1721" t="s">
        <v>294</v>
      </c>
      <c r="F703" s="1721"/>
      <c r="G703" s="1721"/>
      <c r="H703" s="1721"/>
      <c r="I703" s="1721"/>
      <c r="J703" s="1721"/>
      <c r="K703" s="1721"/>
      <c r="L703" s="1721"/>
      <c r="M703" s="1721"/>
      <c r="N703" s="1721"/>
      <c r="O703" s="1721"/>
      <c r="P703" s="1721"/>
      <c r="Q703" s="1721"/>
      <c r="R703" s="1721"/>
      <c r="S703" s="1722"/>
      <c r="T703" s="1723">
        <f>AK283</f>
        <v>15</v>
      </c>
      <c r="U703" s="1723"/>
      <c r="V703" s="1723"/>
      <c r="W703" s="1723"/>
      <c r="X703" s="1723"/>
      <c r="Y703" s="1723"/>
      <c r="Z703" s="1747">
        <v>15</v>
      </c>
      <c r="AA703" s="1747"/>
      <c r="AB703" s="1747"/>
      <c r="AC703" s="1747"/>
      <c r="AD703" s="1747"/>
      <c r="AE703" s="1747"/>
      <c r="AF703" s="1829"/>
      <c r="AG703" s="1829"/>
      <c r="AH703" s="1829"/>
      <c r="AI703" s="1829"/>
      <c r="AJ703" s="1829"/>
      <c r="AK703" s="1829"/>
      <c r="AL703" s="778"/>
      <c r="AM703" s="20"/>
    </row>
    <row r="704" spans="1:43">
      <c r="A704" s="617"/>
      <c r="B704" s="90"/>
      <c r="C704" s="90"/>
      <c r="D704" s="618" t="s">
        <v>1469</v>
      </c>
      <c r="E704" s="1721" t="s">
        <v>295</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9"/>
      <c r="AG704" s="1829"/>
      <c r="AH704" s="1829"/>
      <c r="AI704" s="1829"/>
      <c r="AJ704" s="1829"/>
      <c r="AK704" s="1829"/>
      <c r="AL704" s="778"/>
      <c r="AM704" s="20"/>
    </row>
    <row r="705" spans="1:39" hidden="1">
      <c r="A705" s="594" t="s">
        <v>122</v>
      </c>
      <c r="B705" s="1719" t="s">
        <v>540</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7"/>
      <c r="AA705" s="1227"/>
      <c r="AB705" s="1227"/>
      <c r="AC705" s="1227"/>
      <c r="AD705" s="1227"/>
      <c r="AE705" s="1227"/>
      <c r="AF705" s="1227"/>
      <c r="AG705" s="1227"/>
      <c r="AH705" s="1227"/>
      <c r="AI705" s="1227"/>
      <c r="AJ705" s="1227"/>
      <c r="AK705" s="1227"/>
      <c r="AL705" s="778"/>
      <c r="AM705" s="20"/>
    </row>
    <row r="706" spans="1:39">
      <c r="A706" s="594" t="s">
        <v>122</v>
      </c>
      <c r="B706" s="1719" t="s">
        <v>541</v>
      </c>
      <c r="C706" s="1719"/>
      <c r="D706" s="1719"/>
      <c r="E706" s="1719"/>
      <c r="F706" s="1719"/>
      <c r="G706" s="1719"/>
      <c r="H706" s="1719"/>
      <c r="I706" s="1719"/>
      <c r="J706" s="1719"/>
      <c r="K706" s="1719"/>
      <c r="L706" s="1719"/>
      <c r="M706" s="1719"/>
      <c r="N706" s="1719"/>
      <c r="O706" s="1719"/>
      <c r="P706" s="1719"/>
      <c r="Q706" s="1719"/>
      <c r="R706" s="1719"/>
      <c r="S706" s="1720"/>
      <c r="T706" s="1819">
        <f>IF(SUM(T707:Y708)&gt;52,52,SUM(T707:Y708))</f>
        <v>52</v>
      </c>
      <c r="U706" s="1820"/>
      <c r="V706" s="1820"/>
      <c r="W706" s="1820"/>
      <c r="X706" s="1820"/>
      <c r="Y706" s="1820"/>
      <c r="Z706" s="1820">
        <v>52</v>
      </c>
      <c r="AA706" s="1820"/>
      <c r="AB706" s="1820"/>
      <c r="AC706" s="1820"/>
      <c r="AD706" s="1820"/>
      <c r="AE706" s="1820"/>
      <c r="AF706" s="1820">
        <f>$AO$698+$T$708</f>
        <v>52</v>
      </c>
      <c r="AG706" s="1820"/>
      <c r="AH706" s="1820"/>
      <c r="AI706" s="1820"/>
      <c r="AJ706" s="1820"/>
      <c r="AK706" s="1820"/>
      <c r="AL706" s="778"/>
      <c r="AM706" s="20"/>
    </row>
    <row r="707" spans="1:39">
      <c r="A707" s="619"/>
      <c r="B707" s="621"/>
      <c r="C707" s="621"/>
      <c r="D707" s="622" t="s">
        <v>2217</v>
      </c>
      <c r="E707" s="1721" t="s">
        <v>183</v>
      </c>
      <c r="F707" s="1721"/>
      <c r="G707" s="1721"/>
      <c r="H707" s="1721"/>
      <c r="I707" s="1721"/>
      <c r="J707" s="1721"/>
      <c r="K707" s="1721"/>
      <c r="L707" s="1721"/>
      <c r="M707" s="1721"/>
      <c r="N707" s="1721"/>
      <c r="O707" s="1721"/>
      <c r="P707" s="1721"/>
      <c r="Q707" s="1721"/>
      <c r="R707" s="1721"/>
      <c r="S707" s="1722"/>
      <c r="T707" s="1744">
        <f>AC592</f>
        <v>50</v>
      </c>
      <c r="U707" s="1745"/>
      <c r="V707" s="1745"/>
      <c r="W707" s="1745"/>
      <c r="X707" s="1745"/>
      <c r="Y707" s="1746"/>
      <c r="Z707" s="1744">
        <v>50</v>
      </c>
      <c r="AA707" s="1745"/>
      <c r="AB707" s="1745"/>
      <c r="AC707" s="1745"/>
      <c r="AD707" s="1745"/>
      <c r="AE707" s="1746"/>
      <c r="AF707" s="1824"/>
      <c r="AG707" s="1825"/>
      <c r="AH707" s="1825"/>
      <c r="AI707" s="1825"/>
      <c r="AJ707" s="1825"/>
      <c r="AK707" s="1826"/>
      <c r="AL707" s="778"/>
      <c r="AM707" s="4"/>
    </row>
    <row r="708" spans="1:39">
      <c r="A708" s="623"/>
      <c r="B708" s="615"/>
      <c r="C708" s="615"/>
      <c r="D708" s="306" t="s">
        <v>2218</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69">
        <v>2</v>
      </c>
      <c r="AA708" s="1070"/>
      <c r="AB708" s="1070"/>
      <c r="AC708" s="1070"/>
      <c r="AD708" s="1070"/>
      <c r="AE708" s="1072"/>
      <c r="AF708" s="1840"/>
      <c r="AG708" s="1841"/>
      <c r="AH708" s="1841"/>
      <c r="AI708" s="1841"/>
      <c r="AJ708" s="1841"/>
      <c r="AK708" s="1842"/>
      <c r="AL708" s="778"/>
      <c r="AM708" s="4"/>
    </row>
    <row r="709" spans="1:39">
      <c r="A709" s="619" t="s">
        <v>123</v>
      </c>
      <c r="B709" s="1719" t="s">
        <v>542</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7">
        <v>10</v>
      </c>
      <c r="AA709" s="1227"/>
      <c r="AB709" s="1227"/>
      <c r="AC709" s="1227"/>
      <c r="AD709" s="1227"/>
      <c r="AE709" s="1227"/>
      <c r="AF709" s="1424">
        <f>IF(T709&gt;Z709,Z709,T709)</f>
        <v>10</v>
      </c>
      <c r="AG709" s="1425"/>
      <c r="AH709" s="1425"/>
      <c r="AI709" s="1425"/>
      <c r="AJ709" s="1425"/>
      <c r="AK709" s="1426"/>
      <c r="AL709" s="778"/>
      <c r="AM709" s="20"/>
    </row>
    <row r="710" spans="1:39">
      <c r="A710" s="619" t="s">
        <v>125</v>
      </c>
      <c r="B710" s="1719" t="s">
        <v>985</v>
      </c>
      <c r="C710" s="1719"/>
      <c r="D710" s="1719"/>
      <c r="E710" s="1719"/>
      <c r="F710" s="1719"/>
      <c r="G710" s="1719"/>
      <c r="H710" s="1719"/>
      <c r="I710" s="1719"/>
      <c r="J710" s="1719"/>
      <c r="K710" s="1719"/>
      <c r="L710" s="1719"/>
      <c r="M710" s="1719"/>
      <c r="N710" s="1719"/>
      <c r="O710" s="1719"/>
      <c r="P710" s="1719"/>
      <c r="Q710" s="1719"/>
      <c r="R710" s="1719"/>
      <c r="S710" s="1720"/>
      <c r="T710" s="1821">
        <f>IF(AK688&gt;2,2,AK688)</f>
        <v>2</v>
      </c>
      <c r="U710" s="1822"/>
      <c r="V710" s="1822"/>
      <c r="W710" s="1822"/>
      <c r="X710" s="1822"/>
      <c r="Y710" s="1823"/>
      <c r="Z710" s="1424">
        <v>2</v>
      </c>
      <c r="AA710" s="1425"/>
      <c r="AB710" s="1425"/>
      <c r="AC710" s="1425"/>
      <c r="AD710" s="1425"/>
      <c r="AE710" s="1426"/>
      <c r="AF710" s="1424">
        <f>IF(T710&gt;Z710,Z710,T710)</f>
        <v>2</v>
      </c>
      <c r="AG710" s="1838"/>
      <c r="AH710" s="1838"/>
      <c r="AI710" s="1838"/>
      <c r="AJ710" s="1838"/>
      <c r="AK710" s="1839"/>
      <c r="AL710" s="3"/>
      <c r="AM710" s="20"/>
    </row>
    <row r="711" spans="1:39">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8"/>
      <c r="U711" s="1468"/>
      <c r="V711" s="1468"/>
      <c r="W711" s="1468"/>
      <c r="X711" s="1468"/>
      <c r="Y711" s="1468"/>
      <c r="Z711" s="1747" t="s">
        <v>296</v>
      </c>
      <c r="AA711" s="1747"/>
      <c r="AB711" s="1747"/>
      <c r="AC711" s="1747"/>
      <c r="AD711" s="1747"/>
      <c r="AE711" s="1747"/>
      <c r="AF711" s="1424">
        <f>IF(T711&gt;0,T711,0)</f>
        <v>0</v>
      </c>
      <c r="AG711" s="1425"/>
      <c r="AH711" s="1425"/>
      <c r="AI711" s="1425"/>
      <c r="AJ711" s="1425"/>
      <c r="AK711" s="1426"/>
      <c r="AL711" s="18"/>
      <c r="AM711" s="20"/>
    </row>
    <row r="712" spans="1:39" ht="15.6">
      <c r="A712" s="1730" t="s">
        <v>721</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30">
        <f>SUM(AF698:AK710)-AF711</f>
        <v>109</v>
      </c>
      <c r="AG712" s="1831"/>
      <c r="AH712" s="1831"/>
      <c r="AI712" s="1831"/>
      <c r="AJ712" s="1831"/>
      <c r="AK712" s="1832"/>
      <c r="AL712" s="779"/>
      <c r="AM712" s="4"/>
    </row>
    <row r="713" spans="1:39" ht="12.45"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3"/>
      <c r="AG713" s="1834"/>
      <c r="AH713" s="1834"/>
      <c r="AI713" s="1834"/>
      <c r="AJ713" s="1834"/>
      <c r="AK713" s="1835"/>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5"/>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5"/>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5"/>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5"/>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5"/>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4" t="s">
        <v>2034</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8"/>
      <c r="B3" s="898"/>
      <c r="I3" s="899"/>
      <c r="K3" s="900"/>
    </row>
    <row r="4" spans="1:57" ht="14.25" customHeight="1">
      <c r="A4" s="1903" t="s">
        <v>2035</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898"/>
      <c r="B5" s="898"/>
      <c r="I5" s="899"/>
      <c r="K5" s="900"/>
    </row>
    <row r="6" spans="1:57">
      <c r="A6" s="898"/>
      <c r="B6" s="898"/>
      <c r="D6" s="896" t="s">
        <v>2038</v>
      </c>
      <c r="I6" s="899"/>
      <c r="K6" s="900"/>
      <c r="U6" s="1902"/>
      <c r="V6" s="1902"/>
      <c r="W6" s="1902"/>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10"/>
      <c r="Q9" s="1910"/>
      <c r="R9" s="1910"/>
      <c r="S9" s="1910"/>
      <c r="T9" s="1910"/>
    </row>
    <row r="10" spans="1:57">
      <c r="A10" s="898"/>
      <c r="B10" s="898"/>
      <c r="I10" s="899"/>
      <c r="K10" s="900"/>
    </row>
    <row r="11" spans="1:57">
      <c r="A11" s="1903" t="s">
        <v>2041</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896" t="s">
        <v>108</v>
      </c>
    </row>
    <row r="12" spans="1:57">
      <c r="A12" s="898"/>
      <c r="B12" s="898"/>
      <c r="I12" s="899"/>
      <c r="K12" s="900"/>
      <c r="BC12" s="896" t="s">
        <v>482</v>
      </c>
    </row>
    <row r="13" spans="1:57">
      <c r="A13" s="898"/>
      <c r="B13" s="898"/>
      <c r="D13" s="896" t="s">
        <v>2042</v>
      </c>
      <c r="I13" s="899"/>
      <c r="K13" s="900"/>
      <c r="T13" s="1902"/>
      <c r="U13" s="1902"/>
      <c r="V13" s="1902"/>
    </row>
    <row r="14" spans="1:57">
      <c r="A14" s="898"/>
      <c r="B14" s="898"/>
      <c r="E14" s="896" t="s">
        <v>2049</v>
      </c>
      <c r="I14" s="899"/>
      <c r="K14" s="900"/>
      <c r="N14" s="1908"/>
      <c r="O14" s="1908"/>
      <c r="P14" s="1908"/>
      <c r="Q14" s="1908"/>
      <c r="R14" s="1908"/>
      <c r="S14" s="1908"/>
      <c r="T14" s="1908"/>
      <c r="U14" s="1908"/>
      <c r="V14" s="1908"/>
      <c r="W14" s="1908"/>
      <c r="X14" s="1908"/>
      <c r="Y14" s="1908"/>
      <c r="Z14" s="1908"/>
      <c r="AA14" s="1908"/>
      <c r="AB14" s="1908"/>
      <c r="AC14" s="1908"/>
      <c r="AD14" s="1908"/>
      <c r="AE14" s="1908"/>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1224237.1000000001</v>
      </c>
    </row>
    <row r="16" spans="1:57">
      <c r="A16" s="898"/>
      <c r="B16" s="898"/>
      <c r="BC16" s="896" t="s">
        <v>2053</v>
      </c>
      <c r="BE16" s="896">
        <f>'Basis &amp; Credits'!T11+'Basis &amp; Credits'!AD11</f>
        <v>15792139</v>
      </c>
    </row>
    <row r="17" spans="1:43">
      <c r="A17" s="898"/>
      <c r="B17" s="898"/>
      <c r="D17" s="896" t="s">
        <v>2044</v>
      </c>
      <c r="I17" s="899"/>
      <c r="K17" s="900"/>
      <c r="U17" s="1909" t="str">
        <f>IF(T13="yes",(BE15/BE16)," ")</f>
        <v xml:space="preserve"> </v>
      </c>
      <c r="V17" s="1909"/>
      <c r="W17" s="1909"/>
      <c r="X17" s="1909"/>
      <c r="Y17" s="1909"/>
    </row>
    <row r="18" spans="1:43">
      <c r="A18" s="898"/>
      <c r="B18" s="898"/>
      <c r="I18" s="899"/>
      <c r="K18" s="900"/>
    </row>
    <row r="19" spans="1:43">
      <c r="A19" s="1903" t="s">
        <v>2046</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898"/>
      <c r="D20" s="898"/>
      <c r="K20" s="899"/>
      <c r="M20" s="900"/>
    </row>
    <row r="21" spans="1:43">
      <c r="C21" s="898"/>
      <c r="D21" s="898"/>
      <c r="K21" s="899"/>
      <c r="M21" s="900"/>
    </row>
    <row r="22" spans="1:43">
      <c r="C22" s="901" t="s">
        <v>728</v>
      </c>
      <c r="D22" s="901"/>
      <c r="E22" s="896" t="s">
        <v>2047</v>
      </c>
      <c r="H22" s="902"/>
      <c r="K22" s="896"/>
      <c r="Q22" s="1911">
        <f>ROUND('Basis &amp; Credits'!AB55,0)</f>
        <v>1224237</v>
      </c>
      <c r="R22" s="1911"/>
      <c r="S22" s="1911"/>
      <c r="T22" s="1911"/>
      <c r="U22" s="1911"/>
      <c r="V22" s="1911"/>
      <c r="W22" s="1911"/>
      <c r="X22" s="1911"/>
      <c r="Y22" s="916"/>
    </row>
    <row r="23" spans="1:43">
      <c r="C23" s="898"/>
      <c r="D23" s="898"/>
      <c r="G23" s="903"/>
      <c r="H23" s="903"/>
      <c r="I23" s="904"/>
      <c r="J23" s="904"/>
      <c r="K23" s="903"/>
      <c r="M23" s="897"/>
    </row>
    <row r="24" spans="1:43">
      <c r="C24" s="905"/>
      <c r="D24" s="905"/>
      <c r="E24" s="906"/>
      <c r="J24" s="904"/>
      <c r="K24" s="896"/>
      <c r="L24" s="1914" t="s">
        <v>2024</v>
      </c>
      <c r="M24" s="1914"/>
      <c r="N24" s="1914"/>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c r="C26" s="898"/>
      <c r="D26" s="898"/>
      <c r="E26" s="907" t="s">
        <v>2029</v>
      </c>
      <c r="F26" s="907"/>
      <c r="J26" s="908"/>
      <c r="L26" s="1912">
        <f>Application!BN626</f>
        <v>8</v>
      </c>
      <c r="M26" s="1912"/>
      <c r="N26" s="1912"/>
      <c r="P26" s="1901">
        <v>0.9</v>
      </c>
      <c r="Q26" s="1901"/>
      <c r="R26" s="1901"/>
      <c r="S26" s="1901"/>
      <c r="T26" s="1901"/>
      <c r="V26" s="1901">
        <f>L26*P26</f>
        <v>7.2</v>
      </c>
      <c r="W26" s="1901"/>
      <c r="X26" s="1901"/>
    </row>
    <row r="27" spans="1:43">
      <c r="C27" s="898"/>
      <c r="D27" s="898"/>
      <c r="E27" s="896" t="s">
        <v>2030</v>
      </c>
      <c r="J27" s="908"/>
      <c r="L27" s="1892">
        <f>Application!BS626</f>
        <v>10</v>
      </c>
      <c r="M27" s="1892">
        <f>Application!BS634+Application!BS643+Application!CX657</f>
        <v>0</v>
      </c>
      <c r="N27" s="1892"/>
      <c r="P27" s="1897">
        <v>1</v>
      </c>
      <c r="Q27" s="1897"/>
      <c r="R27" s="1897"/>
      <c r="S27" s="1897"/>
      <c r="T27" s="1897"/>
      <c r="V27" s="1897">
        <f>L27*P27</f>
        <v>10</v>
      </c>
      <c r="W27" s="1897"/>
      <c r="X27" s="1897"/>
    </row>
    <row r="28" spans="1:43">
      <c r="C28" s="898"/>
      <c r="D28" s="898"/>
      <c r="E28" s="896" t="s">
        <v>2031</v>
      </c>
      <c r="J28" s="908"/>
      <c r="L28" s="1892">
        <f>Application!BX626</f>
        <v>1</v>
      </c>
      <c r="M28" s="1892">
        <f>Application!BX634+Application!BX643+Application!DC657</f>
        <v>0</v>
      </c>
      <c r="N28" s="1892"/>
      <c r="P28" s="1897">
        <v>1.25</v>
      </c>
      <c r="Q28" s="1897"/>
      <c r="R28" s="1897"/>
      <c r="S28" s="1897"/>
      <c r="T28" s="1897"/>
      <c r="V28" s="1897">
        <f>L28*P28</f>
        <v>1.25</v>
      </c>
      <c r="W28" s="1897"/>
      <c r="X28" s="1897"/>
    </row>
    <row r="29" spans="1:43">
      <c r="C29" s="898"/>
      <c r="D29" s="898"/>
      <c r="E29" s="896" t="s">
        <v>2032</v>
      </c>
      <c r="J29" s="908"/>
      <c r="L29" s="1892">
        <f>Application!CC626</f>
        <v>0</v>
      </c>
      <c r="M29" s="1892">
        <f>Application!CC634+Application!CC643+Application!DH657</f>
        <v>0</v>
      </c>
      <c r="N29" s="1892"/>
      <c r="P29" s="1897">
        <v>1.5</v>
      </c>
      <c r="Q29" s="1897"/>
      <c r="R29" s="1897"/>
      <c r="S29" s="1897"/>
      <c r="T29" s="1897"/>
      <c r="V29" s="1897">
        <f>L29*P29</f>
        <v>0</v>
      </c>
      <c r="W29" s="1897"/>
      <c r="X29" s="1897"/>
    </row>
    <row r="30" spans="1:43">
      <c r="C30" s="898"/>
      <c r="D30" s="898"/>
      <c r="E30" s="896" t="s">
        <v>2033</v>
      </c>
      <c r="J30" s="908"/>
      <c r="L30" s="1893">
        <f>Application!CH626+Application!CM626</f>
        <v>1</v>
      </c>
      <c r="M30" s="1893"/>
      <c r="N30" s="1893"/>
      <c r="P30" s="1897">
        <v>1.75</v>
      </c>
      <c r="Q30" s="1897"/>
      <c r="R30" s="1897">
        <f>1.75+0.25*0</f>
        <v>1.75</v>
      </c>
      <c r="S30" s="1897"/>
      <c r="T30" s="1897"/>
      <c r="V30" s="1898">
        <f>L30*P30</f>
        <v>1.75</v>
      </c>
      <c r="W30" s="1898"/>
      <c r="X30" s="1898"/>
    </row>
    <row r="31" spans="1:43">
      <c r="C31" s="898"/>
      <c r="D31" s="898"/>
      <c r="L31" s="1912">
        <f>SUM(L26:N30)</f>
        <v>20</v>
      </c>
      <c r="M31" s="1913"/>
      <c r="N31" s="1913"/>
      <c r="V31" s="1901">
        <f>SUM(V26:X30)</f>
        <v>20.2</v>
      </c>
      <c r="W31" s="1901"/>
      <c r="X31" s="1901"/>
    </row>
    <row r="32" spans="1:43">
      <c r="C32" s="898"/>
      <c r="D32" s="898"/>
      <c r="K32" s="909"/>
    </row>
    <row r="33" spans="1:27">
      <c r="C33" s="901" t="s">
        <v>191</v>
      </c>
      <c r="D33" s="901"/>
      <c r="E33" s="898" t="s">
        <v>2048</v>
      </c>
      <c r="H33" s="910"/>
      <c r="I33" s="911"/>
      <c r="J33" s="912"/>
      <c r="K33" s="909"/>
      <c r="M33" s="897"/>
      <c r="V33" s="1894">
        <f>IF(V31&gt;0,V31/Q22," ")</f>
        <v>1.6500073106759556E-5</v>
      </c>
      <c r="W33" s="1895"/>
      <c r="X33" s="1895"/>
      <c r="Y33" s="1895"/>
      <c r="Z33" s="1895"/>
      <c r="AA33" s="1896"/>
    </row>
    <row r="34" spans="1:27">
      <c r="K34" s="896"/>
      <c r="M34" s="897"/>
    </row>
    <row r="35" spans="1:27">
      <c r="E35" s="898" t="s">
        <v>2054</v>
      </c>
      <c r="F35" s="898"/>
      <c r="G35" s="898"/>
      <c r="H35" s="898"/>
      <c r="I35" s="898"/>
      <c r="J35" s="898"/>
      <c r="K35" s="898"/>
      <c r="L35" s="898"/>
      <c r="M35" s="918"/>
      <c r="N35" s="898"/>
      <c r="O35" s="898"/>
      <c r="P35" s="898"/>
      <c r="Q35" s="898"/>
      <c r="R35" s="898"/>
      <c r="V35" s="1905">
        <f>IF(V31&gt;0,1/V33," ")</f>
        <v>60605.792079207924</v>
      </c>
      <c r="W35" s="1906"/>
      <c r="X35" s="1906"/>
      <c r="Y35" s="1906"/>
      <c r="Z35" s="1906"/>
      <c r="AA35" s="190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2024-07-02T21:09:10Z</cp:lastPrinted>
  <dcterms:created xsi:type="dcterms:W3CDTF">2007-12-27T18:26:28Z</dcterms:created>
  <dcterms:modified xsi:type="dcterms:W3CDTF">2024-07-03T19:56:08Z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2024-06-20T19:22:15Z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a6b917e5-6c42-457d-b852-3ec0a2cde658</vt:lpwstr>
  </property>
  <property fmtid="{D5CDD505-2E9C-101B-9397-08002B2CF9AE}" pid="8" name="MSIP_Label_cac78fa3-8c3c-40be-95d9-faf236c08e18_ContentBits">
    <vt:lpwstr>0</vt:lpwstr>
  </property>
</Properties>
</file>