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88E12CEE-31DE-4EF6-AF27-7B8012377804}" xr6:coauthVersionLast="47" xr6:coauthVersionMax="47" xr10:uidLastSave="{00000000-0000-0000-0000-000000000000}"/>
  <bookViews>
    <workbookView xWindow="-26625" yWindow="2265" windowWidth="17280" windowHeight="8970" tabRatio="821" firstSheet="1"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896" i="3" l="1"/>
  <c r="T622" i="3"/>
  <c r="L936" i="3" l="1"/>
  <c r="AF621" i="3"/>
  <c r="L937" i="3" l="1"/>
  <c r="E64" i="4"/>
  <c r="W822" i="3"/>
  <c r="W842" i="3"/>
  <c r="Q621" i="3" l="1"/>
  <c r="T621" i="3"/>
  <c r="T21" i="5" l="1"/>
  <c r="C82" i="4" l="1"/>
  <c r="C55" i="4"/>
  <c r="E94" i="25" l="1"/>
  <c r="E93" i="25"/>
  <c r="E92" i="25"/>
  <c r="E91" i="25"/>
  <c r="E90" i="25"/>
  <c r="D90" i="25" l="1"/>
  <c r="D91" i="25"/>
  <c r="D92" i="25"/>
  <c r="D93" i="25"/>
  <c r="D94" i="25"/>
  <c r="E14" i="10" l="1"/>
  <c r="E13" i="10"/>
  <c r="E9" i="10"/>
  <c r="E8" i="10"/>
  <c r="E4" i="10"/>
  <c r="S78" i="4" l="1"/>
  <c r="S36" i="4"/>
  <c r="S35" i="4"/>
  <c r="S33" i="4"/>
  <c r="S32" i="4"/>
  <c r="S31" i="4"/>
  <c r="S41" i="4"/>
  <c r="S40" i="4"/>
  <c r="S84" i="4"/>
  <c r="S66" i="4"/>
  <c r="C40" i="4"/>
  <c r="E79" i="4"/>
  <c r="E78" i="4"/>
  <c r="E91" i="4"/>
  <c r="E90" i="4"/>
  <c r="E89" i="4"/>
  <c r="E88" i="4"/>
  <c r="E87" i="4"/>
  <c r="E84" i="4"/>
  <c r="E82" i="4"/>
  <c r="E74" i="4"/>
  <c r="E68" i="4"/>
  <c r="E66" i="4"/>
  <c r="E65" i="4"/>
  <c r="E60" i="4"/>
  <c r="E56" i="4"/>
  <c r="E55" i="4"/>
  <c r="E52" i="4"/>
  <c r="E49" i="4"/>
  <c r="E48" i="4"/>
  <c r="E46" i="4"/>
  <c r="E45" i="4"/>
  <c r="E41" i="4"/>
  <c r="E40" i="4"/>
  <c r="E4" i="4"/>
  <c r="E29" i="4"/>
  <c r="E31" i="4"/>
  <c r="E32" i="4"/>
  <c r="E33" i="4"/>
  <c r="E35" i="4"/>
  <c r="E36" i="4"/>
  <c r="G30" i="4"/>
  <c r="C33" i="4"/>
  <c r="C32" i="4"/>
  <c r="C60" i="4"/>
  <c r="C41" i="4"/>
  <c r="AC865" i="3" l="1"/>
  <c r="Y702" i="3" l="1"/>
  <c r="O702" i="3" s="1"/>
  <c r="Y701" i="3"/>
  <c r="O701" i="3" s="1"/>
  <c r="Y699" i="3"/>
  <c r="Y697" i="3"/>
  <c r="Y696" i="3"/>
  <c r="O696" i="3" s="1"/>
  <c r="Y695" i="3"/>
  <c r="Y808" i="3"/>
  <c r="U808" i="3"/>
  <c r="Q808" i="3"/>
  <c r="O707" i="3"/>
  <c r="O706" i="3"/>
  <c r="O705" i="3"/>
  <c r="O704" i="3"/>
  <c r="O700" i="3"/>
  <c r="K705" i="3"/>
  <c r="K706" i="3"/>
  <c r="K707" i="3"/>
  <c r="K704" i="3"/>
  <c r="O699" i="3"/>
  <c r="K700" i="3"/>
  <c r="K701" i="3"/>
  <c r="K702" i="3"/>
  <c r="K699" i="3"/>
  <c r="K696" i="3"/>
  <c r="K697" i="3"/>
  <c r="K695" i="3"/>
  <c r="O697" i="3"/>
  <c r="O695"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698" i="3"/>
  <c r="BG698" i="3" s="1"/>
  <c r="BF703" i="3"/>
  <c r="BG703"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698"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696" i="3" s="1"/>
  <c r="AZ260" i="3"/>
  <c r="BO245" i="3" s="1"/>
  <c r="T269" i="3" s="1"/>
  <c r="Y22" i="5"/>
  <c r="AD22" i="5"/>
  <c r="AI22" i="5"/>
  <c r="T22" i="5"/>
  <c r="BF707" i="3" l="1"/>
  <c r="BG707" i="3" s="1"/>
  <c r="BF706" i="3"/>
  <c r="BG706" i="3" s="1"/>
  <c r="BF704" i="3"/>
  <c r="BG704" i="3" s="1"/>
  <c r="BF705" i="3"/>
  <c r="BG705" i="3" s="1"/>
  <c r="BF702" i="3"/>
  <c r="BF701" i="3"/>
  <c r="BF700" i="3"/>
  <c r="BF699" i="3"/>
  <c r="BF695" i="3"/>
  <c r="AZ729" i="3"/>
  <c r="AZ728" i="3"/>
  <c r="BA728" i="3" s="1"/>
  <c r="BF697"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C699" i="3"/>
  <c r="AM699" i="3" s="1"/>
  <c r="BG699" i="3" s="1"/>
  <c r="AC700" i="3"/>
  <c r="AM700" i="3" s="1"/>
  <c r="BG700" i="3" s="1"/>
  <c r="AC701" i="3"/>
  <c r="AM701" i="3" s="1"/>
  <c r="BG701" i="3" s="1"/>
  <c r="AC702" i="3"/>
  <c r="AM702" i="3" s="1"/>
  <c r="BG702"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H98" i="4" s="1"/>
  <c r="E98" i="4" s="1"/>
  <c r="R98" i="4" s="1"/>
  <c r="S98" i="4" s="1"/>
  <c r="E97" i="18" s="1"/>
  <c r="G107" i="4"/>
  <c r="F107" i="4"/>
  <c r="F30" i="4" s="1"/>
  <c r="E30" i="4" s="1"/>
  <c r="R30" i="4" s="1"/>
  <c r="S30" i="4" s="1"/>
  <c r="E29" i="18" s="1"/>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E85" i="15" s="1"/>
  <c r="D85" i="15"/>
  <c r="B86" i="15"/>
  <c r="C86" i="15"/>
  <c r="D86" i="15"/>
  <c r="B87" i="15"/>
  <c r="C87" i="15"/>
  <c r="D87" i="15"/>
  <c r="B88" i="15"/>
  <c r="C88" i="15"/>
  <c r="D88" i="15"/>
  <c r="B89" i="15"/>
  <c r="C89" i="15"/>
  <c r="E89" i="15" s="1"/>
  <c r="D89" i="15"/>
  <c r="B90" i="15"/>
  <c r="E90" i="15" s="1"/>
  <c r="C90" i="15"/>
  <c r="D90" i="15"/>
  <c r="B91" i="15"/>
  <c r="C91" i="15"/>
  <c r="D91" i="15"/>
  <c r="B92" i="15"/>
  <c r="C92" i="15"/>
  <c r="E92" i="15" s="1"/>
  <c r="D92" i="15"/>
  <c r="B93" i="15"/>
  <c r="C93" i="15"/>
  <c r="D93" i="15"/>
  <c r="B94" i="15"/>
  <c r="C94" i="15"/>
  <c r="E94" i="15"/>
  <c r="D94" i="15"/>
  <c r="B95" i="15"/>
  <c r="C95" i="15"/>
  <c r="E95" i="15"/>
  <c r="D95" i="15"/>
  <c r="E86" i="15"/>
  <c r="E93" i="15"/>
  <c r="D83" i="15"/>
  <c r="C83" i="15"/>
  <c r="B83" i="15"/>
  <c r="B80" i="15"/>
  <c r="C80" i="15"/>
  <c r="D80" i="15"/>
  <c r="D79" i="15"/>
  <c r="C79" i="15"/>
  <c r="B79" i="15"/>
  <c r="E79" i="15" s="1"/>
  <c r="B73" i="15"/>
  <c r="C73" i="15"/>
  <c r="D73" i="15"/>
  <c r="B74" i="15"/>
  <c r="E74" i="15"/>
  <c r="C74" i="15"/>
  <c r="D74" i="15"/>
  <c r="B75" i="15"/>
  <c r="C75" i="15"/>
  <c r="D75" i="15"/>
  <c r="B76" i="15"/>
  <c r="E76" i="15" s="1"/>
  <c r="C76" i="15"/>
  <c r="D76" i="15"/>
  <c r="D72" i="15"/>
  <c r="C72" i="15"/>
  <c r="B72" i="15"/>
  <c r="B66" i="15"/>
  <c r="C66" i="15"/>
  <c r="E66" i="15" s="1"/>
  <c r="D66" i="15"/>
  <c r="B67" i="15"/>
  <c r="C67" i="15"/>
  <c r="D67" i="15"/>
  <c r="B68" i="15"/>
  <c r="C68" i="15"/>
  <c r="E68" i="15"/>
  <c r="D68" i="15"/>
  <c r="B69" i="15"/>
  <c r="E69" i="15" s="1"/>
  <c r="C69" i="15"/>
  <c r="D69" i="15"/>
  <c r="D65" i="15"/>
  <c r="C65" i="15"/>
  <c r="B65" i="15"/>
  <c r="B57" i="15"/>
  <c r="E57" i="15" s="1"/>
  <c r="C57" i="15"/>
  <c r="D57" i="15"/>
  <c r="B58" i="15"/>
  <c r="C58" i="15"/>
  <c r="D58" i="15"/>
  <c r="B59" i="15"/>
  <c r="C59" i="15"/>
  <c r="E59" i="15"/>
  <c r="D59" i="15"/>
  <c r="B60" i="15"/>
  <c r="C60" i="15"/>
  <c r="E60" i="15"/>
  <c r="D60" i="15"/>
  <c r="B61" i="15"/>
  <c r="C61" i="15"/>
  <c r="E61" i="15" s="1"/>
  <c r="D61" i="15"/>
  <c r="D56" i="15"/>
  <c r="C56" i="15"/>
  <c r="E56" i="15" s="1"/>
  <c r="B56" i="15"/>
  <c r="B47" i="15"/>
  <c r="E47" i="15" s="1"/>
  <c r="C47" i="15"/>
  <c r="D47" i="15"/>
  <c r="B48" i="15"/>
  <c r="C48" i="15"/>
  <c r="D48" i="15"/>
  <c r="B49" i="15"/>
  <c r="C49" i="15"/>
  <c r="D49" i="15"/>
  <c r="B50" i="15"/>
  <c r="C50" i="15"/>
  <c r="E50" i="15" s="1"/>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E31" i="15" s="1"/>
  <c r="D31" i="15"/>
  <c r="B32" i="15"/>
  <c r="C32" i="15"/>
  <c r="E32" i="15" s="1"/>
  <c r="D32" i="15"/>
  <c r="B33" i="15"/>
  <c r="C33" i="15"/>
  <c r="D33" i="15"/>
  <c r="B34" i="15"/>
  <c r="C34" i="15"/>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73" i="15"/>
  <c r="E22" i="15"/>
  <c r="E91" i="15"/>
  <c r="E87" i="15"/>
  <c r="E67" i="15"/>
  <c r="E58" i="15"/>
  <c r="E16" i="15"/>
  <c r="E7" i="15"/>
  <c r="E51" i="15"/>
  <c r="E88" i="15"/>
  <c r="E84" i="15"/>
  <c r="E14" i="15"/>
  <c r="E44" i="15"/>
  <c r="E21" i="15"/>
  <c r="E28" i="15"/>
  <c r="E8" i="15"/>
  <c r="E52" i="15"/>
  <c r="E48" i="15"/>
  <c r="E19" i="15"/>
  <c r="E42" i="15"/>
  <c r="E72" i="15"/>
  <c r="C12" i="15"/>
  <c r="B12" i="15"/>
  <c r="E6" i="15"/>
  <c r="E23" i="15"/>
  <c r="E41" i="15"/>
  <c r="C9" i="15"/>
  <c r="E11" i="15"/>
  <c r="E35" i="15"/>
  <c r="E36"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39" i="15" s="1"/>
  <c r="C42" i="4"/>
  <c r="C53" i="4"/>
  <c r="B53" i="4" s="1"/>
  <c r="C61" i="4"/>
  <c r="B61" i="4" s="1"/>
  <c r="C69" i="4"/>
  <c r="C70" i="15" s="1"/>
  <c r="C76" i="4"/>
  <c r="D77" i="15" s="1"/>
  <c r="C80" i="4"/>
  <c r="C81" i="15" s="1"/>
  <c r="C95" i="4"/>
  <c r="B94" i="18" s="1"/>
  <c r="C103" i="4"/>
  <c r="C104" i="15" s="1"/>
  <c r="C66" i="25"/>
  <c r="Y20" i="5"/>
  <c r="AI20" i="5"/>
  <c r="S26" i="4"/>
  <c r="S42" i="4"/>
  <c r="E41" i="18" s="1"/>
  <c r="S53" i="4"/>
  <c r="S69" i="4"/>
  <c r="E68" i="18" s="1"/>
  <c r="S80" i="4"/>
  <c r="E79" i="18" s="1"/>
  <c r="S95"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9" i="4"/>
  <c r="S29" i="4" s="1"/>
  <c r="E28" i="18" s="1"/>
  <c r="R27" i="4"/>
  <c r="R25" i="4"/>
  <c r="R23" i="4"/>
  <c r="R22" i="4"/>
  <c r="R21" i="4"/>
  <c r="R20" i="4"/>
  <c r="R19" i="4"/>
  <c r="R18" i="4"/>
  <c r="R17" i="4"/>
  <c r="R15" i="4"/>
  <c r="R14" i="4"/>
  <c r="R13" i="4"/>
  <c r="R7" i="4"/>
  <c r="R6" i="4"/>
  <c r="D5" i="15"/>
  <c r="D9" i="15" s="1"/>
  <c r="D13" i="15" s="1"/>
  <c r="D6" i="15"/>
  <c r="D7" i="15"/>
  <c r="D8" i="15"/>
  <c r="D10" i="15"/>
  <c r="D11" i="15"/>
  <c r="D14" i="15"/>
  <c r="D15" i="15"/>
  <c r="D16" i="15"/>
  <c r="D18" i="15"/>
  <c r="E52" i="18"/>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43" i="15"/>
  <c r="C43" i="15"/>
  <c r="E43" i="15" s="1"/>
  <c r="D43" i="15"/>
  <c r="G12" i="4"/>
  <c r="F12" i="4"/>
  <c r="B27" i="15"/>
  <c r="D27" i="15"/>
  <c r="C27" i="15"/>
  <c r="B11" i="4"/>
  <c r="B8" i="4"/>
  <c r="B12" i="4" s="1"/>
  <c r="T62" i="4"/>
  <c r="B68" i="18"/>
  <c r="B70" i="15"/>
  <c r="B11" i="18"/>
  <c r="G52" i="25"/>
  <c r="AB47" i="26"/>
  <c r="I61" i="18"/>
  <c r="I95" i="18"/>
  <c r="I103" i="18"/>
  <c r="I105" i="18"/>
  <c r="J61" i="18"/>
  <c r="J95" i="18"/>
  <c r="J103" i="18"/>
  <c r="J105" i="18"/>
  <c r="K12" i="4"/>
  <c r="B42" i="4"/>
  <c r="J12" i="4"/>
  <c r="R11" i="4"/>
  <c r="R8" i="4"/>
  <c r="R12" i="4" s="1"/>
  <c r="D12" i="15"/>
  <c r="C61" i="18"/>
  <c r="C95" i="18"/>
  <c r="C103" i="18"/>
  <c r="C12" i="18"/>
  <c r="M62" i="4"/>
  <c r="M96" i="4"/>
  <c r="M104" i="4"/>
  <c r="J62" i="4"/>
  <c r="J96" i="4"/>
  <c r="J104" i="4"/>
  <c r="C12" i="4"/>
  <c r="B12" i="18" s="1"/>
  <c r="O62" i="4"/>
  <c r="O96" i="4"/>
  <c r="O104" i="4"/>
  <c r="N62" i="4"/>
  <c r="N96" i="4"/>
  <c r="N104" i="4"/>
  <c r="D62" i="4"/>
  <c r="D96" i="4"/>
  <c r="D104" i="4"/>
  <c r="B8" i="18"/>
  <c r="R26" i="4"/>
  <c r="L62" i="4"/>
  <c r="L96" i="4"/>
  <c r="L104" i="4"/>
  <c r="H12" i="4"/>
  <c r="H11" i="18"/>
  <c r="Q62" i="4"/>
  <c r="Q96" i="4"/>
  <c r="Q104" i="4"/>
  <c r="K62" i="4"/>
  <c r="K96" i="4"/>
  <c r="K104" i="4"/>
  <c r="I62" i="4"/>
  <c r="I96" i="4"/>
  <c r="I104" i="4"/>
  <c r="R42" i="4"/>
  <c r="T96" i="4"/>
  <c r="H61" i="18"/>
  <c r="H62" i="4"/>
  <c r="H96" i="4"/>
  <c r="M12" i="4"/>
  <c r="D12" i="18"/>
  <c r="P62" i="4"/>
  <c r="P96" i="4"/>
  <c r="P104" i="4"/>
  <c r="B69" i="4"/>
  <c r="G61" i="18"/>
  <c r="G95" i="18"/>
  <c r="G103" i="18"/>
  <c r="G105" i="18"/>
  <c r="F61" i="18"/>
  <c r="F95" i="18"/>
  <c r="F103" i="18"/>
  <c r="F105" i="18"/>
  <c r="D61" i="18"/>
  <c r="D95" i="18"/>
  <c r="D103" i="18"/>
  <c r="S28" i="9"/>
  <c r="AC28" i="9"/>
  <c r="H95" i="18"/>
  <c r="T104" i="4"/>
  <c r="H103" i="18"/>
  <c r="T106" i="4"/>
  <c r="H105" i="18"/>
  <c r="AD11" i="5"/>
  <c r="AD23" i="5" s="1"/>
  <c r="AD26" i="5" s="1"/>
  <c r="AI11" i="27"/>
  <c r="AI11" i="26"/>
  <c r="AD11" i="27"/>
  <c r="AD11" i="26"/>
  <c r="T24" i="27"/>
  <c r="T24" i="26"/>
  <c r="R69" i="4" l="1"/>
  <c r="D70" i="15"/>
  <c r="D96" i="15"/>
  <c r="C96" i="15"/>
  <c r="B95" i="4"/>
  <c r="B75" i="18"/>
  <c r="C77" i="15"/>
  <c r="B77" i="15"/>
  <c r="B76" i="4"/>
  <c r="E80" i="15"/>
  <c r="R80" i="4"/>
  <c r="S103" i="4"/>
  <c r="E102" i="18" s="1"/>
  <c r="G98" i="25"/>
  <c r="D100" i="25" s="1"/>
  <c r="D102" i="25" s="1"/>
  <c r="D104" i="25" s="1"/>
  <c r="D110" i="25" s="1"/>
  <c r="G38" i="25" s="1"/>
  <c r="G53" i="25" s="1"/>
  <c r="E46" i="15"/>
  <c r="R53" i="4"/>
  <c r="S38" i="4"/>
  <c r="K53" i="9"/>
  <c r="I58" i="9"/>
  <c r="E94" i="18"/>
  <c r="R76" i="4"/>
  <c r="R95" i="4"/>
  <c r="R103" i="4"/>
  <c r="E62" i="4"/>
  <c r="E96" i="4" s="1"/>
  <c r="E104" i="4" s="1"/>
  <c r="R38" i="4"/>
  <c r="G104" i="4"/>
  <c r="E83" i="15"/>
  <c r="B60" i="18"/>
  <c r="B62" i="15"/>
  <c r="E75" i="15"/>
  <c r="E49" i="15"/>
  <c r="E34" i="15"/>
  <c r="E33" i="15"/>
  <c r="E9" i="15"/>
  <c r="E5" i="15"/>
  <c r="D62" i="15"/>
  <c r="C62" i="15"/>
  <c r="E65" i="15"/>
  <c r="B96" i="15"/>
  <c r="E96" i="15" s="1"/>
  <c r="B52" i="18"/>
  <c r="C54" i="15"/>
  <c r="D54" i="15"/>
  <c r="B54" i="15"/>
  <c r="D81" i="15"/>
  <c r="B81" i="15"/>
  <c r="E81" i="15" s="1"/>
  <c r="B80" i="4"/>
  <c r="B38" i="4"/>
  <c r="B37" i="18"/>
  <c r="B39" i="15"/>
  <c r="E39" i="15" s="1"/>
  <c r="D39" i="15"/>
  <c r="C62" i="4"/>
  <c r="C96" i="4" s="1"/>
  <c r="B95" i="18" s="1"/>
  <c r="E70" i="15"/>
  <c r="C13" i="15"/>
  <c r="E13" i="15" s="1"/>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R62" i="4" l="1"/>
  <c r="R96" i="4" s="1"/>
  <c r="R104" i="4" s="1"/>
  <c r="E77" i="15"/>
  <c r="E54" i="15"/>
  <c r="E62" i="15"/>
  <c r="E37" i="18"/>
  <c r="S62" i="4"/>
  <c r="M53" i="9"/>
  <c r="K58" i="9"/>
  <c r="B63" i="15"/>
  <c r="D97" i="15"/>
  <c r="B96" i="4"/>
  <c r="C104" i="4"/>
  <c r="AC448" i="3" s="1"/>
  <c r="C97" i="15"/>
  <c r="B97" i="15"/>
  <c r="B61" i="18"/>
  <c r="D63" i="15"/>
  <c r="C63" i="15"/>
  <c r="B62"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E63" i="15" l="1"/>
  <c r="E61" i="18"/>
  <c r="S96" i="4"/>
  <c r="O53" i="9"/>
  <c r="M58" i="9"/>
  <c r="B104" i="4"/>
  <c r="AC447" i="3" s="1"/>
  <c r="F450" i="3" s="1"/>
  <c r="E97" i="15"/>
  <c r="B105" i="15"/>
  <c r="B103" i="18"/>
  <c r="C105" i="15"/>
  <c r="D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B46" i="26" l="1"/>
  <c r="AB48" i="26" s="1"/>
  <c r="AB53" i="26" s="1"/>
  <c r="AB54" i="26" s="1"/>
  <c r="E105" i="15"/>
  <c r="E95" i="18"/>
  <c r="S104" i="4"/>
  <c r="Q53" i="9"/>
  <c r="O58" i="9"/>
  <c r="AB46" i="27"/>
  <c r="AB48" i="27" s="1"/>
  <c r="AB53" i="27" s="1"/>
  <c r="AB54" i="27" s="1"/>
  <c r="J58" i="25"/>
  <c r="B76" i="25" s="1"/>
  <c r="AB46" i="5"/>
  <c r="AB48"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G71" i="25" l="1"/>
  <c r="G72" i="25" s="1"/>
  <c r="B75" i="25" s="1"/>
  <c r="E103" i="18"/>
  <c r="S106" i="4"/>
  <c r="S53" i="9"/>
  <c r="Q58" i="9"/>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6" i="9" l="1"/>
  <c r="E67" i="9"/>
  <c r="E105" i="18"/>
  <c r="AC449" i="3"/>
  <c r="X1024" i="3"/>
  <c r="E62" i="9"/>
  <c r="E70" i="9" s="1"/>
  <c r="E72" i="9" s="1"/>
  <c r="S58" i="9"/>
  <c r="U53" i="9"/>
  <c r="S4" i="9"/>
  <c r="S5" i="9" s="1"/>
  <c r="AK619" i="6"/>
  <c r="AJ1020" i="3"/>
  <c r="G45" i="9"/>
  <c r="T708" i="6"/>
  <c r="T706" i="6" s="1"/>
  <c r="BT573" i="6"/>
  <c r="CG537" i="6"/>
  <c r="BQ550" i="6"/>
  <c r="BU549" i="6"/>
  <c r="BU550" i="6" s="1"/>
  <c r="S16" i="9"/>
  <c r="Q22" i="9"/>
  <c r="Q35" i="9" s="1"/>
  <c r="AA15" i="9"/>
  <c r="I49" i="9"/>
  <c r="I45" i="9"/>
  <c r="K7" i="9"/>
  <c r="K11" i="9" s="1"/>
  <c r="M6" i="9"/>
  <c r="U32" i="9"/>
  <c r="Q8" i="9"/>
  <c r="O9" i="9"/>
  <c r="Y11" i="27" l="1"/>
  <c r="Y23" i="27" s="1"/>
  <c r="Y26" i="27" s="1"/>
  <c r="Y28" i="27" s="1"/>
  <c r="Y63" i="27" s="1"/>
  <c r="Y67" i="27" s="1"/>
  <c r="T11" i="27"/>
  <c r="T23" i="27" s="1"/>
  <c r="T11" i="5"/>
  <c r="T11" i="26"/>
  <c r="T23" i="26" s="1"/>
  <c r="Y11" i="26"/>
  <c r="Y23" i="26" s="1"/>
  <c r="Y26" i="26" s="1"/>
  <c r="Y28" i="26" s="1"/>
  <c r="Y63" i="26" s="1"/>
  <c r="Y67" i="26" s="1"/>
  <c r="G62" i="9"/>
  <c r="G47" i="9"/>
  <c r="G60" i="9"/>
  <c r="U58" i="9"/>
  <c r="W53" i="9"/>
  <c r="U4" i="9"/>
  <c r="U5" i="9" s="1"/>
  <c r="G48" i="9"/>
  <c r="T24" i="5"/>
  <c r="X1025" i="3"/>
  <c r="AF706" i="6"/>
  <c r="AF712" i="6" s="1"/>
  <c r="BT577" i="6"/>
  <c r="BY574" i="6"/>
  <c r="CC550" i="6"/>
  <c r="K37" i="9"/>
  <c r="K49" i="9" s="1"/>
  <c r="U16" i="9"/>
  <c r="S22" i="9"/>
  <c r="S35" i="9" s="1"/>
  <c r="AC15" i="9"/>
  <c r="I47" i="9"/>
  <c r="I48" i="9"/>
  <c r="I60" i="9"/>
  <c r="O6" i="9"/>
  <c r="M7" i="9"/>
  <c r="M11" i="9" s="1"/>
  <c r="M37" i="9" s="1"/>
  <c r="W32" i="9"/>
  <c r="S8" i="9"/>
  <c r="Q9" i="9"/>
  <c r="T26" i="26" l="1"/>
  <c r="T28" i="26" s="1"/>
  <c r="T29" i="26" s="1"/>
  <c r="Y38" i="26"/>
  <c r="Y40" i="26" s="1"/>
  <c r="AD38" i="26"/>
  <c r="AD40" i="26" s="1"/>
  <c r="BE16" i="28"/>
  <c r="T23" i="5"/>
  <c r="T26" i="27"/>
  <c r="T28" i="27" s="1"/>
  <c r="T29" i="27" s="1"/>
  <c r="AD38" i="27"/>
  <c r="AD40" i="27" s="1"/>
  <c r="G66" i="9"/>
  <c r="G67" i="9"/>
  <c r="G69" i="9"/>
  <c r="G68" i="9"/>
  <c r="I62" i="9"/>
  <c r="W58" i="9"/>
  <c r="Y53" i="9"/>
  <c r="W4" i="9"/>
  <c r="Y4" i="9" s="1"/>
  <c r="D1026" i="3"/>
  <c r="CD575" i="6"/>
  <c r="BY577" i="6"/>
  <c r="K45" i="9"/>
  <c r="K60" i="9" s="1"/>
  <c r="K69" i="9" s="1"/>
  <c r="Q6" i="9"/>
  <c r="O7" i="9"/>
  <c r="O11" i="9" s="1"/>
  <c r="O37" i="9" s="1"/>
  <c r="I67" i="9"/>
  <c r="I69" i="9"/>
  <c r="I68" i="9"/>
  <c r="I66" i="9"/>
  <c r="AE15" i="9"/>
  <c r="M45" i="9"/>
  <c r="M49" i="9"/>
  <c r="W16" i="9"/>
  <c r="U22" i="9"/>
  <c r="U35" i="9" s="1"/>
  <c r="Y32" i="9"/>
  <c r="U8" i="9"/>
  <c r="S9" i="9"/>
  <c r="Y38" i="27" l="1"/>
  <c r="Y40" i="27" s="1"/>
  <c r="T26" i="5"/>
  <c r="T28" i="5" s="1"/>
  <c r="Q71" i="25"/>
  <c r="O75" i="25" s="1"/>
  <c r="R75" i="25" s="1"/>
  <c r="Y41" i="27"/>
  <c r="AB55" i="27" s="1"/>
  <c r="AB56" i="27" s="1"/>
  <c r="AB58" i="27" s="1"/>
  <c r="AD38" i="5"/>
  <c r="AD40" i="5" s="1"/>
  <c r="Y41" i="26"/>
  <c r="AB55" i="26" s="1"/>
  <c r="AB56" i="26" s="1"/>
  <c r="AB58" i="26" s="1"/>
  <c r="K62" i="9"/>
  <c r="Y58" i="9"/>
  <c r="AA53" i="9"/>
  <c r="W5" i="9"/>
  <c r="G70" i="9"/>
  <c r="CD577" i="6"/>
  <c r="CI576" i="6"/>
  <c r="CI577" i="6" s="1"/>
  <c r="K48" i="9"/>
  <c r="K66" i="9"/>
  <c r="K68" i="9"/>
  <c r="K67" i="9"/>
  <c r="K47" i="9"/>
  <c r="M48" i="9"/>
  <c r="M47" i="9"/>
  <c r="M60" i="9"/>
  <c r="O49" i="9"/>
  <c r="O45" i="9"/>
  <c r="AA4" i="9"/>
  <c r="Y5" i="9"/>
  <c r="I70" i="9"/>
  <c r="I72" i="9" s="1"/>
  <c r="AG15" i="9"/>
  <c r="Y16" i="9"/>
  <c r="W22" i="9"/>
  <c r="W35" i="9" s="1"/>
  <c r="S6" i="9"/>
  <c r="Q7" i="9"/>
  <c r="Q11" i="9" s="1"/>
  <c r="Q37" i="9" s="1"/>
  <c r="AA32" i="9"/>
  <c r="W8" i="9"/>
  <c r="U9" i="9"/>
  <c r="Y63" i="5" l="1"/>
  <c r="Y67" i="5" s="1"/>
  <c r="T29" i="5"/>
  <c r="Y38" i="5"/>
  <c r="Y40" i="5" s="1"/>
  <c r="F59" i="27"/>
  <c r="AB75" i="27"/>
  <c r="AB76" i="27" s="1"/>
  <c r="AB77" i="27" s="1"/>
  <c r="AB79" i="27" s="1"/>
  <c r="J80" i="27" s="1"/>
  <c r="AB75" i="26"/>
  <c r="AB76" i="26" s="1"/>
  <c r="AB77" i="26" s="1"/>
  <c r="AB79" i="26" s="1"/>
  <c r="J80" i="26" s="1"/>
  <c r="F59" i="26"/>
  <c r="M62" i="9"/>
  <c r="AC53" i="9"/>
  <c r="AA58" i="9"/>
  <c r="CN577" i="6"/>
  <c r="BD558" i="6" s="1"/>
  <c r="K70" i="9"/>
  <c r="K72" i="9" s="1"/>
  <c r="Q45" i="9"/>
  <c r="Q49" i="9"/>
  <c r="AC4" i="9"/>
  <c r="AA5" i="9"/>
  <c r="O48" i="9"/>
  <c r="O60" i="9"/>
  <c r="O47" i="9"/>
  <c r="U6" i="9"/>
  <c r="S7" i="9"/>
  <c r="S11" i="9" s="1"/>
  <c r="S37" i="9" s="1"/>
  <c r="AA16" i="9"/>
  <c r="Y22" i="9"/>
  <c r="Y35" i="9" s="1"/>
  <c r="M66" i="9"/>
  <c r="M68" i="9"/>
  <c r="M69" i="9"/>
  <c r="M67" i="9"/>
  <c r="AC32" i="9"/>
  <c r="W9" i="9"/>
  <c r="Y8" i="9"/>
  <c r="O62" i="9" l="1"/>
  <c r="AR42" i="5"/>
  <c r="Y41" i="5" s="1"/>
  <c r="AR43" i="5"/>
  <c r="AE53" i="9"/>
  <c r="AC58" i="9"/>
  <c r="AT560" i="6"/>
  <c r="AW562" i="6"/>
  <c r="M70" i="9"/>
  <c r="M72" i="9" s="1"/>
  <c r="W6" i="9"/>
  <c r="U7" i="9"/>
  <c r="U11" i="9" s="1"/>
  <c r="U37" i="9" s="1"/>
  <c r="O68" i="9"/>
  <c r="O66" i="9"/>
  <c r="O69" i="9"/>
  <c r="O67" i="9"/>
  <c r="AC16" i="9"/>
  <c r="AA22" i="9"/>
  <c r="AA35" i="9" s="1"/>
  <c r="S45" i="9"/>
  <c r="S49" i="9"/>
  <c r="AC5" i="9"/>
  <c r="AE4" i="9"/>
  <c r="Q48" i="9"/>
  <c r="Q60" i="9"/>
  <c r="Q47" i="9"/>
  <c r="AE32" i="9"/>
  <c r="Y9" i="9"/>
  <c r="AA8" i="9"/>
  <c r="Q62" i="9" l="1"/>
  <c r="AB53" i="5"/>
  <c r="AB54" i="5" s="1"/>
  <c r="AB55" i="5" s="1"/>
  <c r="AG53" i="9"/>
  <c r="AG58" i="9" s="1"/>
  <c r="AE58" i="9"/>
  <c r="AE5" i="9"/>
  <c r="AG4" i="9"/>
  <c r="O70" i="9"/>
  <c r="O72" i="9" s="1"/>
  <c r="S47" i="9"/>
  <c r="S48" i="9"/>
  <c r="S60" i="9"/>
  <c r="S62" i="9" s="1"/>
  <c r="W7" i="9"/>
  <c r="W11" i="9" s="1"/>
  <c r="W37" i="9" s="1"/>
  <c r="Y6" i="9"/>
  <c r="U49" i="9"/>
  <c r="U45" i="9"/>
  <c r="Q68" i="9"/>
  <c r="Q69" i="9"/>
  <c r="Q67" i="9"/>
  <c r="Q66" i="9"/>
  <c r="AE16" i="9"/>
  <c r="AC22" i="9"/>
  <c r="AC35" i="9" s="1"/>
  <c r="AG32" i="9"/>
  <c r="AA9" i="9"/>
  <c r="AC8" i="9"/>
  <c r="M25" i="3" l="1"/>
  <c r="P203" i="3" s="1"/>
  <c r="AB56" i="5"/>
  <c r="AB58" i="5" s="1"/>
  <c r="BE15" i="28"/>
  <c r="Q22" i="28"/>
  <c r="V33" i="28" s="1"/>
  <c r="V35" i="28" s="1"/>
  <c r="AG5" i="9"/>
  <c r="Q70" i="9"/>
  <c r="Q72" i="9" s="1"/>
  <c r="W45" i="9"/>
  <c r="W49" i="9"/>
  <c r="AG16" i="9"/>
  <c r="AG22" i="9" s="1"/>
  <c r="AG35" i="9" s="1"/>
  <c r="AE22" i="9"/>
  <c r="AE35" i="9" s="1"/>
  <c r="S67" i="9"/>
  <c r="S68" i="9"/>
  <c r="S69" i="9"/>
  <c r="S66" i="9"/>
  <c r="U48" i="9"/>
  <c r="U60" i="9"/>
  <c r="U62" i="9" s="1"/>
  <c r="U47" i="9"/>
  <c r="Y7" i="9"/>
  <c r="Y11" i="9" s="1"/>
  <c r="Y37" i="9" s="1"/>
  <c r="AA6" i="9"/>
  <c r="AC9" i="9"/>
  <c r="AE8" i="9"/>
  <c r="AB75" i="5" l="1"/>
  <c r="AB76" i="5" s="1"/>
  <c r="F59" i="5"/>
  <c r="Y45" i="9"/>
  <c r="Y49" i="9"/>
  <c r="S70" i="9"/>
  <c r="S72" i="9" s="1"/>
  <c r="AA7" i="9"/>
  <c r="AA11" i="9" s="1"/>
  <c r="AA37" i="9" s="1"/>
  <c r="AC6" i="9"/>
  <c r="U69" i="9"/>
  <c r="U67" i="9"/>
  <c r="U66" i="9"/>
  <c r="U68" i="9"/>
  <c r="W47" i="9"/>
  <c r="W48" i="9"/>
  <c r="W60" i="9"/>
  <c r="W62" i="9" s="1"/>
  <c r="AG8" i="9"/>
  <c r="AE9" i="9"/>
  <c r="M27" i="3" l="1"/>
  <c r="AB77" i="5"/>
  <c r="AB79" i="5" s="1"/>
  <c r="J80" i="5" s="1"/>
  <c r="AA49" i="9"/>
  <c r="AA45" i="9"/>
  <c r="W66" i="9"/>
  <c r="W68" i="9"/>
  <c r="W67" i="9"/>
  <c r="W69" i="9"/>
  <c r="AE6" i="9"/>
  <c r="AC7" i="9"/>
  <c r="AC11" i="9" s="1"/>
  <c r="AC37" i="9" s="1"/>
  <c r="U70" i="9"/>
  <c r="U72" i="9" s="1"/>
  <c r="Y48" i="9"/>
  <c r="Y60" i="9"/>
  <c r="Y62" i="9" s="1"/>
  <c r="Y47" i="9"/>
  <c r="AG9" i="9"/>
  <c r="W203" i="3" l="1"/>
  <c r="D203" i="3"/>
  <c r="AG6" i="9"/>
  <c r="AE7" i="9"/>
  <c r="AE11" i="9" s="1"/>
  <c r="AE37" i="9" s="1"/>
  <c r="Y66" i="9"/>
  <c r="Y69" i="9"/>
  <c r="Y68" i="9"/>
  <c r="Y67" i="9"/>
  <c r="AC49" i="9"/>
  <c r="AC45" i="9"/>
  <c r="AA47" i="9"/>
  <c r="AA48" i="9"/>
  <c r="AA60" i="9"/>
  <c r="AA62" i="9" s="1"/>
  <c r="W70" i="9"/>
  <c r="W72" i="9" s="1"/>
  <c r="AG7" i="9" l="1"/>
  <c r="AG11" i="9" s="1"/>
  <c r="AG37" i="9" s="1"/>
  <c r="AG49" i="9" s="1"/>
  <c r="AA68" i="9"/>
  <c r="AA69" i="9"/>
  <c r="AA66" i="9"/>
  <c r="AA67" i="9"/>
  <c r="Y70" i="9"/>
  <c r="Y72" i="9" s="1"/>
  <c r="AE49" i="9"/>
  <c r="AE45" i="9"/>
  <c r="AC48" i="9"/>
  <c r="AC60" i="9"/>
  <c r="AC62" i="9" s="1"/>
  <c r="AC47" i="9"/>
  <c r="AG45" i="9" l="1"/>
  <c r="AE60" i="9"/>
  <c r="AE62" i="9" s="1"/>
  <c r="AE47" i="9"/>
  <c r="AE48" i="9"/>
  <c r="AC69" i="9"/>
  <c r="AC68" i="9"/>
  <c r="AC66" i="9"/>
  <c r="AC67" i="9"/>
  <c r="AA70" i="9"/>
  <c r="AA72" i="9" s="1"/>
  <c r="AG47" i="9" l="1"/>
  <c r="AG48" i="9"/>
  <c r="AG60" i="9"/>
  <c r="AG62" i="9" s="1"/>
  <c r="AC70" i="9"/>
  <c r="AC72" i="9" s="1"/>
  <c r="AE68" i="9"/>
  <c r="AE67" i="9"/>
  <c r="AE66" i="9"/>
  <c r="AE69" i="9"/>
  <c r="AG67" i="9" l="1"/>
  <c r="AG69" i="9"/>
  <c r="AG66" i="9"/>
  <c r="AG68" i="9"/>
  <c r="AE70" i="9"/>
  <c r="AE72" i="9" s="1"/>
  <c r="AG70" i="9" l="1"/>
  <c r="AG72" i="9" s="1"/>
  <c r="G7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<sst xmlns="http://schemas.openxmlformats.org/spreadsheetml/2006/main" count="4677" uniqueCount="2478">
  <si>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</si>
  <si>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</si>
  <si>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</si>
  <si>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</si>
  <si>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</si>
  <si>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</si>
  <si>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</si>
  <si>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</si>
  <si>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</si>
  <si>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</si>
  <si>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</si>
  <si>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</si>
  <si>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</si>
  <si>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</si>
  <si>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</si>
  <si>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</si>
  <si>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</si>
  <si>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</si>
  <si>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</si>
  <si>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</si>
  <si>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</si>
  <si>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</si>
  <si>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</si>
  <si>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</si>
  <si>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</si>
  <si>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</si>
  <si>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</si>
  <si>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</si>
  <si>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</si>
  <si>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</si>
  <si>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</si>
  <si>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</si>
  <si>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</si>
  <si>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</si>
  <si>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</si>
  <si>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</si>
  <si>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</si>
  <si>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</si>
  <si>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</si>
  <si>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</si>
  <si>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</si>
  <si>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</si>
  <si>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</si>
  <si>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</si>
  <si>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</si>
  <si>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</si>
  <si>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</si>
  <si>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</si>
  <si>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</si>
  <si>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</si>
  <si>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</si>
  <si>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</si>
  <si>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</si>
  <si>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</si>
  <si>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</si>
  <si>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</si>
  <si>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</si>
  <si>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</si>
  <si>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</si>
  <si>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</si>
  <si>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</si>
  <si>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</si>
  <si>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</si>
  <si>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</si>
  <si>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</si>
  <si>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</si>
  <si>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</si>
  <si>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</si>
  <si>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</si>
  <si>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</si>
  <si>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</si>
  <si>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</si>
  <si>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</si>
  <si>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</si>
  <si>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</si>
  <si>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</si>
  <si>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</si>
  <si>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</si>
  <si>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</si>
  <si>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</si>
  <si>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</si>
  <si>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</si>
  <si>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</si>
  <si>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</si>
  <si>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</si>
  <si>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</si>
  <si>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</si>
  <si>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</si>
  <si>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</si>
  <si>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</si>
  <si>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</si>
  <si>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</si>
  <si>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</si>
  <si>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</si>
  <si>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</si>
  <si>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</si>
  <si>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</si>
  <si>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</si>
  <si>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</si>
  <si>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</si>
  <si>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</si>
  <si>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</si>
  <si>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</si>
  <si>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</si>
  <si>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</si>
  <si>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</si>
  <si>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</si>
  <si>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</si>
  <si>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</si>
  <si>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</si>
  <si>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</si>
  <si>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</si>
  <si>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</si>
  <si>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</si>
  <si>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</si>
  <si>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</si>
  <si>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</si>
  <si>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</si>
  <si>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</si>
  <si>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</si>
  <si>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</si>
  <si>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</si>
  <si>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</si>
  <si>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</si>
  <si>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</si>
  <si>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</si>
  <si>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</si>
  <si>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</si>
  <si>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</si>
  <si>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</si>
  <si>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</si>
  <si>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</si>
  <si>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</si>
  <si>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</si>
  <si>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</si>
  <si>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</si>
  <si>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</si>
  <si>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</si>
  <si>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</si>
  <si>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</si>
  <si>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</si>
  <si>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</si>
  <si>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</si>
  <si>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</si>
  <si>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</si>
  <si>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</si>
  <si>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</si>
  <si>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</si>
  <si>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</si>
  <si>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</si>
  <si>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</si>
  <si>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</si>
  <si>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</si>
  <si>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</si>
  <si>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</si>
  <si>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</si>
  <si>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</si>
  <si>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</si>
  <si>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</si>
  <si>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</si>
  <si>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</si>
  <si>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</si>
  <si>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</si>
  <si>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</si>
  <si>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</si>
  <si>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</si>
  <si>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</si>
  <si>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</si>
  <si>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</si>
  <si>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</si>
  <si>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</si>
  <si>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</si>
  <si>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</si>
  <si>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</si>
  <si>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</si>
  <si>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</si>
  <si>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</si>
  <si>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</si>
  <si>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</si>
  <si>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</si>
  <si>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</si>
  <si>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</si>
  <si>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</si>
  <si>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</si>
  <si>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</si>
  <si>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</si>
  <si>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</si>
  <si>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</si>
  <si>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</si>
  <si>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</si>
  <si>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</si>
  <si>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</si>
  <si>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</si>
  <si>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</si>
  <si>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</si>
  <si>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</si>
  <si>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</si>
  <si>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</si>
  <si>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</si>
  <si>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</si>
  <si>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</si>
  <si>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</si>
  <si>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</si>
  <si>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</si>
  <si>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</si>
  <si>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</si>
  <si>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</si>
  <si>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</si>
  <si>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</si>
  <si>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</si>
  <si>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</si>
  <si>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</si>
  <si>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</si>
  <si>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</si>
  <si>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</si>
  <si>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</si>
  <si>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</si>
  <si>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</si>
  <si>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</si>
  <si>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</si>
  <si>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</si>
  <si>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</si>
  <si>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</si>
  <si>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</si>
  <si>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</si>
  <si>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</si>
  <si>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</si>
  <si>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</si>
  <si>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</si>
  <si>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</si>
  <si>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</si>
  <si>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</si>
  <si>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</si>
  <si>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</si>
  <si>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</si>
  <si>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</si>
  <si>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</si>
  <si>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</si>
  <si>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</si>
  <si>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</si>
  <si>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</si>
  <si>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</si>
  <si>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</si>
  <si>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</si>
  <si>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</si>
  <si>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</si>
  <si>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</si>
  <si>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</si>
  <si>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</si>
  <si>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</si>
  <si>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</si>
  <si>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</si>
  <si>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</si>
  <si>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</si>
  <si>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</si>
  <si>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</si>
  <si>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</si>
  <si>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</si>
  <si>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</si>
  <si>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</si>
  <si>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</si>
  <si>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</si>
  <si>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</si>
  <si>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</si>
  <si>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</si>
  <si>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</si>
  <si>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</si>
  <si>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</si>
  <si>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</si>
  <si>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</si>
  <si>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</si>
  <si>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</si>
  <si>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</si>
  <si>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</si>
  <si>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</si>
  <si>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</si>
  <si>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</si>
  <si>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</si>
  <si>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</si>
  <si>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</si>
  <si>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</si>
  <si>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</si>
  <si>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</si>
  <si>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</si>
  <si>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</si>
  <si>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</si>
  <si>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</si>
  <si>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</si>
  <si>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</si>
  <si>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</si>
  <si>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</si>
  <si>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</si>
  <si>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</si>
  <si>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</si>
  <si>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</si>
  <si>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</si>
  <si>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</si>
  <si>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</si>
  <si>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</si>
  <si>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</si>
  <si>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</si>
  <si>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</si>
  <si>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</si>
  <si>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</si>
  <si>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</si>
  <si>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</si>
  <si>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</si>
  <si>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</si>
  <si>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</si>
  <si>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</si>
  <si>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</si>
  <si>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</si>
  <si>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</si>
  <si>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</si>
  <si>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</si>
  <si>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</si>
  <si>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</si>
  <si>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</si>
  <si>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</si>
  <si>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</si>
  <si>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</si>
  <si>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</si>
  <si>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</si>
  <si>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</si>
  <si>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</si>
  <si>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</si>
  <si>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</si>
  <si>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</si>
  <si>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</si>
  <si>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</si>
  <si>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</si>
  <si>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</si>
  <si>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</si>
  <si>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</si>
  <si>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</si>
  <si>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</si>
  <si>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</si>
  <si>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</si>
  <si>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</si>
  <si>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</si>
  <si>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</si>
  <si>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</si>
  <si>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</si>
  <si>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</si>
  <si>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</si>
  <si>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</si>
  <si>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</si>
  <si>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</si>
  <si>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</si>
  <si>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</si>
  <si>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</si>
  <si>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</si>
  <si>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</si>
  <si>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</si>
  <si>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</si>
  <si>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</si>
  <si>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</si>
  <si>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</si>
  <si>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</si>
  <si>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</si>
  <si>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</si>
  <si>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</si>
  <si>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</si>
  <si>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</si>
  <si>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</si>
  <si>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</si>
  <si>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</si>
  <si>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</si>
  <si>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</si>
  <si>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</si>
  <si>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</si>
  <si>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</si>
  <si>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</si>
  <si>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</si>
  <si>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</si>
  <si>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</si>
  <si>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</si>
  <si>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</si>
  <si>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</si>
  <si>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</si>
  <si>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</si>
  <si>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</si>
  <si>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</si>
  <si>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</si>
  <si>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</si>
  <si>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</si>
  <si>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</si>
  <si>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</si>
  <si>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</si>
  <si>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</si>
  <si>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</si>
  <si>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</si>
  <si>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</si>
  <si>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</si>
  <si>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</si>
  <si>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</si>
  <si>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</si>
  <si>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</si>
  <si>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</si>
  <si>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</si>
  <si>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</si>
  <si>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</si>
  <si>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</si>
  <si>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</si>
  <si>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</si>
  <si>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</si>
  <si>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</si>
  <si>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</si>
  <si>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</si>
  <si>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</si>
  <si>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</si>
  <si>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</si>
  <si>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</si>
  <si>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</si>
  <si>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</si>
  <si>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</si>
  <si>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</si>
  <si>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</si>
  <si>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</si>
  <si>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</si>
  <si>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</si>
  <si>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</si>
  <si>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</si>
  <si>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</si>
  <si>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</si>
  <si>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</si>
  <si>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</si>
  <si>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</si>
  <si>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</si>
  <si>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</si>
  <si>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</si>
  <si>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</si>
  <si>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</si>
  <si>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</si>
  <si>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</si>
  <si>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</si>
  <si>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</si>
  <si>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</si>
  <si>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</si>
  <si>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</si>
  <si>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</si>
  <si>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</si>
  <si>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</si>
  <si>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</si>
  <si>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</si>
  <si>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</si>
  <si>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</si>
  <si>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</si>
  <si>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</si>
  <si>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</si>
  <si>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</si>
  <si>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</si>
  <si>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</si>
  <si>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</si>
  <si>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</si>
  <si>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</si>
  <si>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</si>
  <si>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</si>
  <si>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</si>
  <si>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</si>
  <si>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</si>
  <si>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</si>
  <si>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</si>
  <si>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</si>
  <si>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</si>
  <si>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</si>
  <si>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</si>
  <si>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</si>
  <si>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</si>
  <si>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</si>
  <si>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</si>
  <si>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</si>
  <si>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</si>
  <si>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</si>
  <si>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</si>
  <si>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</si>
  <si>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</si>
  <si>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</si>
  <si>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</si>
  <si>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</si>
  <si>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</si>
  <si>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</si>
  <si>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</si>
  <si>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</si>
  <si>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</si>
  <si>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</si>
  <si>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</si>
  <si>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</si>
  <si>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</si>
  <si>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</si>
  <si>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</si>
  <si>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</si>
  <si>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</si>
  <si>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</si>
  <si>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</si>
  <si>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</si>
  <si>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</si>
  <si>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</si>
  <si>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</si>
  <si>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</si>
  <si>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</si>
  <si>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</si>
  <si>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</si>
  <si>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</si>
  <si>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</si>
  <si>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</si>
  <si>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</si>
  <si>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</si>
  <si>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</si>
  <si>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</si>
  <si>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</si>
  <si>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</si>
  <si>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</si>
  <si>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</si>
  <si>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</si>
  <si>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</si>
  <si>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</si>
  <si>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</si>
  <si>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</si>
  <si>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</si>
  <si>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</si>
  <si>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</si>
  <si>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</si>
  <si>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</si>
  <si>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</si>
  <si>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</si>
  <si>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</si>
  <si>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</si>
  <si>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</si>
  <si>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</si>
  <si>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</si>
  <si>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</si>
  <si>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</si>
  <si>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</si>
  <si>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</si>
  <si>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</si>
  <si>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</si>
  <si>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</si>
  <si>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</si>
  <si>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</si>
  <si>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</si>
  <si>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</si>
  <si>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</si>
  <si>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</si>
  <si>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</si>
  <si>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</si>
  <si>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</si>
  <si>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</si>
  <si>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</si>
  <si>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</si>
  <si>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</si>
  <si>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</si>
  <si>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</si>
  <si>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</si>
  <si>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</si>
  <si>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</si>
  <si>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</si>
  <si>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</si>
  <si>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</si>
  <si>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</si>
  <si>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</si>
  <si>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</si>
  <si>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</si>
  <si>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</si>
  <si>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</si>
  <si>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</si>
  <si>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</si>
  <si>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</si>
  <si>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</si>
  <si>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</si>
  <si>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</si>
  <si>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</si>
  <si>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</si>
  <si>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</si>
  <si>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</si>
  <si>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</si>
  <si>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</si>
  <si>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</si>
  <si>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</si>
  <si>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</si>
  <si>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</si>
  <si>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</si>
  <si>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</si>
  <si>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</si>
  <si>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</si>
  <si>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</si>
  <si>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</si>
  <si>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</si>
  <si>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</si>
  <si>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</si>
  <si>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</si>
  <si>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</si>
  <si>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</si>
  <si>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</si>
  <si>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</si>
  <si>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</si>
  <si>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</si>
  <si>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</si>
  <si>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</si>
  <si>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</si>
  <si>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</si>
  <si>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</si>
  <si>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</si>
  <si>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</si>
  <si>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</si>
  <si>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</si>
  <si>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</si>
  <si>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</si>
  <si>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</si>
  <si>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</si>
  <si>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</si>
  <si>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</si>
  <si>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</si>
  <si>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</si>
  <si>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</si>
  <si>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</si>
  <si>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</si>
  <si>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</si>
  <si>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</si>
  <si>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</si>
  <si>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</si>
  <si>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</si>
  <si>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</si>
  <si>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</si>
  <si>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</si>
  <si>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</si>
  <si>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</si>
  <si>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</si>
  <si>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</si>
  <si>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</si>
  <si>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</si>
  <si>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</si>
  <si>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</si>
  <si>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</si>
  <si>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</si>
  <si>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</si>
  <si>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</si>
  <si>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</si>
  <si>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</si>
  <si>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</si>
  <si>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</si>
  <si>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</si>
  <si>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</si>
  <si>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</si>
  <si>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</si>
  <si>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</si>
  <si>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</si>
  <si>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</si>
  <si>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</si>
  <si>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</si>
  <si>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</si>
  <si>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</si>
  <si>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</si>
  <si>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</si>
  <si>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</si>
  <si>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</si>
  <si>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</si>
  <si>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</si>
  <si>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</si>
  <si>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</si>
  <si>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</si>
  <si>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</si>
  <si>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</si>
  <si>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</si>
  <si>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</si>
  <si>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</si>
  <si>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</si>
  <si>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</si>
  <si>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</si>
  <si>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</si>
  <si>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</si>
  <si>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</si>
  <si>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</si>
  <si>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</si>
  <si>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</si>
  <si>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</si>
  <si>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</si>
  <si>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</si>
  <si>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</si>
  <si>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</si>
  <si>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</si>
  <si>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</si>
  <si>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</si>
  <si>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</si>
  <si>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</si>
  <si>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</si>
  <si>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</si>
  <si>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</si>
  <si>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</si>
  <si>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</si>
  <si>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</si>
  <si>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</si>
  <si>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</si>
  <si>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</si>
  <si>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</si>
  <si>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</si>
  <si>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</si>
  <si>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</si>
  <si>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</si>
  <si>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</si>
  <si>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</si>
  <si>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</si>
  <si>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</si>
  <si>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</si>
  <si>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</si>
  <si>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</si>
  <si>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</si>
  <si>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</si>
  <si>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</si>
  <si>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</si>
  <si>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</si>
  <si>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</si>
  <si>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</si>
  <si>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</si>
  <si>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</si>
  <si>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</si>
  <si>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</si>
  <si>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</si>
  <si>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</si>
  <si>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</si>
  <si>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</si>
  <si>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</si>
  <si>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</si>
  <si>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</si>
  <si>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</si>
  <si>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</si>
  <si>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</si>
  <si>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</si>
  <si>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</si>
  <si>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</si>
  <si>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</si>
  <si>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</si>
  <si>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</si>
  <si>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</si>
  <si>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</si>
  <si>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</si>
  <si>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</si>
  <si>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</si>
  <si>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</si>
  <si>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</si>
  <si>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</si>
  <si>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</si>
  <si>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</si>
  <si>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</si>
  <si>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</si>
  <si>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</si>
  <si>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</si>
  <si>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</si>
  <si>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</si>
  <si>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</si>
  <si>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</si>
  <si>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</si>
  <si>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</si>
  <si>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</si>
  <si>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</si>
  <si>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</si>
  <si>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</si>
  <si>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</si>
  <si>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</si>
  <si>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</si>
  <si>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</si>
  <si>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</si>
  <si>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</si>
  <si>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</si>
  <si>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</si>
  <si>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</si>
  <si>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</si>
  <si>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</si>
  <si>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</si>
  <si>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</si>
  <si>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</si>
  <si>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</si>
  <si>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</si>
  <si>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</si>
  <si>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</si>
  <si>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</si>
  <si>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</si>
  <si>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</si>
  <si>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</si>
  <si>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</si>
  <si>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</si>
  <si>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</si>
  <si>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</si>
  <si>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</si>
  <si>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</si>
  <si>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</si>
  <si>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</si>
  <si>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</si>
  <si>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</si>
  <si>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</si>
  <si>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</si>
  <si>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</si>
  <si>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</si>
  <si>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</si>
  <si>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</si>
  <si>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</si>
  <si>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</si>
  <si>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</si>
  <si>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</si>
  <si>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</si>
  <si>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</si>
  <si>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</si>
  <si>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</si>
  <si>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</si>
  <si>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</si>
  <si>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</si>
  <si>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</si>
  <si>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</si>
  <si>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</si>
  <si>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</si>
  <si>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</si>
  <si>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</si>
  <si>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</si>
  <si>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</si>
  <si>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</si>
  <si>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</si>
  <si>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</si>
  <si>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</si>
  <si>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</si>
  <si>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</si>
  <si>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</si>
  <si>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</si>
  <si>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</si>
  <si>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</si>
  <si>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</si>
  <si>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</si>
  <si>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</si>
  <si>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</si>
  <si>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</si>
  <si>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</si>
  <si>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</si>
  <si>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</si>
  <si>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</si>
  <si>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</si>
  <si>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</si>
  <si>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</si>
  <si>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</si>
  <si>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</si>
  <si>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</si>
  <si>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</si>
  <si>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</si>
  <si>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</si>
  <si>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</si>
  <si>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</si>
  <si>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</si>
  <si>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</si>
  <si>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</si>
  <si>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</si>
  <si>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</si>
  <si>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</si>
  <si>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</si>
  <si>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</si>
  <si>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</si>
  <si>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</si>
  <si>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</si>
  <si>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</si>
  <si>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</si>
  <si>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</si>
  <si>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</si>
  <si>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</si>
  <si>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</si>
  <si>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</si>
  <si>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</si>
  <si>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</si>
  <si>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</si>
  <si>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</si>
  <si>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</si>
  <si>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</si>
  <si>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</si>
  <si>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</si>
  <si>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</si>
  <si>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</si>
  <si>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</si>
  <si>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</si>
  <si>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</si>
  <si>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</si>
  <si>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</si>
  <si>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</si>
  <si>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</si>
  <si>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</si>
  <si>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</si>
  <si>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</si>
  <si>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</si>
  <si>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</si>
  <si>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</si>
  <si>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</si>
  <si>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</si>
  <si>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</si>
  <si>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</si>
  <si>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</si>
  <si>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</si>
  <si>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</si>
  <si>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</si>
  <si>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</si>
  <si>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</si>
  <si>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</si>
  <si>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</si>
  <si>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</si>
  <si>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</si>
  <si>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</si>
  <si>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</si>
  <si>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</si>
  <si>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</si>
  <si>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</si>
  <si>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</si>
  <si>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</si>
  <si>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</si>
  <si>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</si>
  <si>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</si>
  <si>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</si>
  <si>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</si>
  <si>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</si>
  <si>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</si>
  <si>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</si>
  <si>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</si>
  <si>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</si>
  <si>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</si>
  <si>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</si>
  <si>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</si>
  <si>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</si>
  <si>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</si>
  <si>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</si>
  <si>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</si>
  <si>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</si>
  <si>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</si>
  <si>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</si>
  <si>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</si>
  <si>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</si>
  <si>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</si>
  <si>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</si>
  <si>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</si>
  <si>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</si>
  <si>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</si>
  <si>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</si>
  <si>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</si>
  <si>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</si>
  <si>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</si>
  <si>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</si>
  <si>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</si>
  <si>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</si>
  <si>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</si>
  <si>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</si>
  <si>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</si>
  <si>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</si>
  <si>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</si>
  <si>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</si>
  <si>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</si>
  <si>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</si>
  <si>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</si>
  <si>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</si>
  <si>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</si>
  <si>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</si>
  <si>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</si>
  <si>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</si>
  <si>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</si>
  <si>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</si>
  <si>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</si>
  <si>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</si>
  <si>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</si>
  <si>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</si>
  <si>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</si>
  <si>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</si>
  <si>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</si>
  <si>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</si>
  <si>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</si>
  <si>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</si>
  <si>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</si>
  <si>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</si>
  <si>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</si>
  <si>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</si>
  <si>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</si>
  <si>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</si>
  <si>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</si>
  <si>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</si>
  <si>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</si>
  <si>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</si>
  <si>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</si>
  <si>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</si>
  <si>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</si>
  <si>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</si>
  <si>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</si>
  <si>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</si>
  <si>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</si>
  <si>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</si>
  <si>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</si>
  <si>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</si>
  <si>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</si>
  <si>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</si>
  <si>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</si>
  <si>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</si>
  <si>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</si>
  <si>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</si>
  <si>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</si>
  <si>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</si>
  <si>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</si>
  <si>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</si>
  <si>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</si>
  <si>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</si>
  <si>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</si>
  <si>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</si>
  <si>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</si>
  <si>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</si>
  <si>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</si>
  <si>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</si>
  <si>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</si>
  <si>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</si>
  <si>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</si>
  <si>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</si>
  <si>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</si>
  <si>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</si>
  <si>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</si>
  <si>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</si>
  <si>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</si>
  <si>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</si>
  <si>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</si>
  <si>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</si>
  <si>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</si>
  <si>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</si>
  <si>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</si>
  <si>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</si>
  <si>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</si>
  <si>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</si>
  <si>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</si>
  <si>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</si>
  <si>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</si>
  <si>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</si>
  <si>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</si>
  <si>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</si>
  <si>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</si>
  <si>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</si>
  <si>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</si>
  <si>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</si>
  <si>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</si>
  <si>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</si>
  <si>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</si>
  <si>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</si>
  <si>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</si>
  <si>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</si>
  <si>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</si>
  <si>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</si>
  <si>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</si>
  <si>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</si>
  <si>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</si>
  <si>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</si>
  <si>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</si>
  <si>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</si>
  <si>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</si>
  <si>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</si>
  <si>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</si>
  <si>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</si>
  <si>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</si>
  <si>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</si>
  <si>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</si>
  <si>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</si>
  <si>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</si>
  <si>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</si>
  <si>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</si>
  <si>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</si>
  <si>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</si>
  <si>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</si>
  <si>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</si>
  <si>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</si>
  <si>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</si>
  <si>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</si>
  <si>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</si>
  <si>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</si>
  <si>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</si>
  <si>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</si>
  <si>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</si>
  <si>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</si>
  <si>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</si>
  <si>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</si>
  <si>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</si>
  <si>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</si>
  <si>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</si>
  <si>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</si>
  <si>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</si>
  <si>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</si>
  <si>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</si>
  <si>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</si>
  <si>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</si>
  <si>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</si>
  <si>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</si>
  <si>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</si>
  <si>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</si>
  <si>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</si>
  <si>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</si>
  <si>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</si>
  <si>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</si>
  <si>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</si>
  <si>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</si>
  <si>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</si>
  <si>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</si>
  <si>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</si>
  <si>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</si>
  <si>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</si>
  <si>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</si>
  <si>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</si>
  <si>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</si>
  <si>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</si>
  <si>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</si>
  <si>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</si>
  <si>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</si>
  <si>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</si>
  <si>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</si>
  <si>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</si>
  <si>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</si>
  <si>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</si>
  <si>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</si>
  <si>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</si>
  <si>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</si>
  <si>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</si>
  <si>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</si>
  <si>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</si>
  <si>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</si>
  <si>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</si>
  <si>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</si>
  <si>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</si>
  <si>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</si>
  <si>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</si>
  <si>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</si>
  <si>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</si>
  <si>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</si>
  <si>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</si>
  <si>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</si>
  <si>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</si>
  <si>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</si>
  <si>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</si>
  <si>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</si>
  <si>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</si>
  <si>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</si>
  <si>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</si>
  <si>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</si>
  <si>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</si>
  <si>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</si>
  <si>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</si>
  <si>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</si>
  <si>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</si>
  <si>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</si>
  <si>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</si>
  <si>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</si>
  <si>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</si>
  <si>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</si>
  <si>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</si>
  <si>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</si>
  <si>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</si>
  <si>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</si>
  <si>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</si>
  <si>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</si>
  <si>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</si>
  <si>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</si>
  <si>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</si>
  <si>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</si>
  <si>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</si>
  <si>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</si>
  <si>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</si>
  <si>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</si>
  <si>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</si>
  <si>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</si>
  <si>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</si>
  <si>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</si>
  <si>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</si>
  <si>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</si>
  <si>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</si>
  <si>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</si>
  <si>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</si>
  <si>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</si>
  <si>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</si>
  <si>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</si>
  <si>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</si>
  <si>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</si>
  <si>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</si>
  <si>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</si>
  <si>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</si>
  <si>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</si>
  <si>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</si>
  <si>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</si>
  <si>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</si>
  <si>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</si>
  <si>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</si>
  <si>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</si>
  <si>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</si>
  <si>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</si>
  <si>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</si>
  <si>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</si>
  <si>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</si>
  <si>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</si>
  <si>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</si>
  <si>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</si>
  <si>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</si>
  <si>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</si>
  <si>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</si>
  <si>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</si>
  <si>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</si>
  <si>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</si>
  <si>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</si>
  <si>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</si>
  <si>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</si>
  <si>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</si>
  <si>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</si>
  <si>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</si>
  <si>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</si>
  <si>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</si>
  <si>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</si>
  <si>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</si>
  <si>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</si>
  <si>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</si>
  <si>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</si>
  <si>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</si>
  <si>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</si>
  <si>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</si>
  <si>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</si>
  <si>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</si>
  <si>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</si>
  <si>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</si>
  <si>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</si>
  <si>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</si>
  <si>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</si>
  <si>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</si>
  <si>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</si>
  <si>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</si>
  <si>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</si>
  <si>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</si>
  <si>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</si>
  <si>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</si>
  <si>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</si>
  <si>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</si>
  <si>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</si>
  <si>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</si>
  <si>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</si>
  <si>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</si>
  <si>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</si>
  <si>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</si>
  <si>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</si>
  <si>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</si>
  <si>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</si>
  <si>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</si>
  <si>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</si>
  <si>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</si>
  <si>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</si>
  <si>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</si>
  <si>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</si>
  <si>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</si>
  <si>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</si>
  <si>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</si>
  <si>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</si>
  <si>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</si>
  <si>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</si>
  <si>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</si>
  <si>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</si>
  <si>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</si>
  <si>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</si>
  <si>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</si>
  <si>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</si>
  <si>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</si>
  <si>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</si>
  <si>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</si>
  <si>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</si>
  <si>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</si>
  <si>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</si>
  <si>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</si>
  <si>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</si>
  <si>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</si>
  <si>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</si>
  <si>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</si>
  <si>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</si>
  <si>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</si>
  <si>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</si>
  <si>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</si>
  <si>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</si>
  <si>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</si>
  <si>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</si>
  <si>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</si>
  <si>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</si>
  <si>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</si>
  <si>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</si>
  <si>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</si>
  <si>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</si>
  <si>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</si>
  <si>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</si>
  <si>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</si>
  <si>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</si>
  <si>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</si>
  <si>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</si>
  <si>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</si>
  <si>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</si>
  <si>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</si>
  <si>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</si>
  <si>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</si>
  <si>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</si>
  <si>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</si>
  <si>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</si>
  <si>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</si>
  <si>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</si>
  <si>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</si>
  <si>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</si>
  <si>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</si>
  <si>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</si>
  <si>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</si>
  <si>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</si>
  <si>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</si>
  <si>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</si>
  <si>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</si>
  <si>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</si>
  <si>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</si>
  <si>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</si>
  <si>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</si>
  <si>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</si>
  <si>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</si>
  <si>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</si>
  <si>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</si>
  <si>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</si>
  <si>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</si>
  <si>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</si>
  <si>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</si>
  <si>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</si>
  <si>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</si>
  <si>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</si>
  <si>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</si>
  <si>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</si>
  <si>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</si>
  <si>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</si>
  <si>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</si>
  <si>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</si>
  <si>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</si>
  <si>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</si>
  <si>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</si>
  <si>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</si>
  <si>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</si>
  <si>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</si>
  <si>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</si>
  <si>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</si>
  <si>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</si>
  <si>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</si>
  <si>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</si>
  <si>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</si>
  <si>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</si>
  <si>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</si>
  <si>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</si>
  <si>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</si>
  <si>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</si>
  <si>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</si>
  <si>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</si>
  <si>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</si>
  <si>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</si>
  <si>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</si>
  <si>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</si>
  <si>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</si>
  <si>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</si>
  <si>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</si>
  <si>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</si>
  <si>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</si>
  <si>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</si>
  <si>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</si>
  <si>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</si>
  <si>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</si>
  <si>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</si>
  <si>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</si>
  <si>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</si>
  <si>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</si>
  <si>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</si>
  <si>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</si>
  <si>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</si>
  <si>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</si>
  <si>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</si>
  <si>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</si>
  <si>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</si>
  <si>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</si>
  <si>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</si>
  <si>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</si>
  <si>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</si>
  <si>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</si>
  <si>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</si>
  <si>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</si>
  <si>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</si>
  <si>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</si>
  <si>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</si>
  <si>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</si>
  <si>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</si>
  <si>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</si>
  <si>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</si>
  <si>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</si>
  <si>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</si>
  <si>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</si>
  <si>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</si>
  <si>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</si>
  <si>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</si>
  <si>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</si>
  <si>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</si>
  <si>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</si>
  <si>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</si>
  <si>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</si>
  <si>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</si>
  <si>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</si>
  <si>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</si>
  <si>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</si>
  <si>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</si>
  <si>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</si>
  <si>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</si>
  <si>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</si>
  <si>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</si>
  <si>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</si>
  <si>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</si>
  <si>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</si>
  <si>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</si>
  <si>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</si>
  <si>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</si>
  <si>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</si>
  <si>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</si>
  <si>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</si>
  <si>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</si>
  <si>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</si>
  <si>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</si>
  <si>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</si>
  <si>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</si>
  <si>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</si>
  <si>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</si>
  <si>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</si>
  <si>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</si>
  <si>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</si>
  <si>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</si>
  <si>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</si>
  <si>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</si>
  <si>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</si>
  <si>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</si>
  <si>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</si>
  <si>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</si>
  <si>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</si>
  <si>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</si>
  <si>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</si>
  <si>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</si>
  <si>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</si>
  <si>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</si>
  <si>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</si>
  <si>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</si>
  <si>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</si>
  <si>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</si>
  <si>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</si>
  <si>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</si>
  <si>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</si>
  <si>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</si>
  <si>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</si>
  <si>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</si>
  <si>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</si>
  <si>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</si>
  <si>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</si>
  <si>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</si>
  <si>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</si>
  <si>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</si>
  <si>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</si>
  <si>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</si>
  <si>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</si>
  <si>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</si>
  <si>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</si>
  <si>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</si>
  <si>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</si>
  <si>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</si>
  <si>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</si>
  <si>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</si>
  <si>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</si>
  <si>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</si>
  <si>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</si>
  <si>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</si>
  <si>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</si>
  <si>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</si>
  <si>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</si>
  <si>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</si>
  <si>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</si>
  <si>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</si>
  <si>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</si>
  <si>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</si>
  <si>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</si>
  <si>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</si>
  <si>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</si>
  <si>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</si>
  <si>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</si>
  <si>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</si>
  <si>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</si>
  <si>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</si>
  <si>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</si>
  <si>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</si>
  <si>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</si>
  <si>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</si>
  <si>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</si>
  <si>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</si>
  <si>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</si>
  <si>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</si>
  <si>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</si>
  <si>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</si>
  <si>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</si>
  <si>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</si>
  <si>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</si>
  <si>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</si>
  <si>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</si>
  <si>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</si>
  <si>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</si>
  <si>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</si>
  <si>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</si>
  <si>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</si>
  <si>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</si>
  <si>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</si>
  <si>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</si>
  <si>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</si>
  <si>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</si>
  <si>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</si>
  <si>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</si>
  <si>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</si>
  <si>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</si>
  <si>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</si>
  <si>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</si>
  <si>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</si>
  <si>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</si>
  <si>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</si>
  <si>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</si>
  <si>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</si>
  <si>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</si>
  <si>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</si>
  <si>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</si>
  <si>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</si>
  <si>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</si>
  <si>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</si>
  <si>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</si>
  <si>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</si>
  <si>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</si>
  <si>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</si>
  <si>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</si>
  <si>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</si>
  <si>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</si>
  <si>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</si>
  <si>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</si>
  <si>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</si>
  <si>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</si>
  <si>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</si>
  <si>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</si>
  <si>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</si>
  <si>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</si>
  <si>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</si>
  <si>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</si>
  <si>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</si>
  <si>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</si>
  <si>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</si>
  <si>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</si>
  <si>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</si>
  <si>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</si>
  <si>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</si>
  <si>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</si>
  <si>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</si>
  <si>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</si>
  <si>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</si>
  <si>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</si>
  <si>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</si>
  <si>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</si>
  <si>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</si>
  <si>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</si>
  <si>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</si>
  <si>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</si>
  <si>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</si>
  <si>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</si>
  <si>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</si>
  <si>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</si>
  <si>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</si>
  <si>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</si>
  <si>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</si>
  <si>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</si>
  <si>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</si>
  <si>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</si>
  <si>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</si>
  <si>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</si>
  <si>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</si>
  <si>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</si>
  <si>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</si>
  <si>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</si>
  <si>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</si>
  <si>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</si>
  <si>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</si>
  <si>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</si>
  <si>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</si>
  <si>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</si>
  <si>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</si>
  <si>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</si>
  <si>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</si>
  <si>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</si>
  <si>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</si>
  <si>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</si>
  <si>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</si>
  <si>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</si>
  <si>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</si>
  <si>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</si>
  <si>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</si>
  <si>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</si>
  <si>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</si>
  <si>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</si>
  <si>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</si>
  <si>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</si>
  <si>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</si>
  <si>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</si>
  <si>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</si>
  <si>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</si>
  <si>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</si>
  <si>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</si>
  <si>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</si>
  <si>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</si>
  <si>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</si>
  <si>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</si>
  <si>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</si>
  <si>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</si>
  <si>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</si>
  <si>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</si>
  <si>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</si>
  <si>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</si>
  <si>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</si>
  <si>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</si>
  <si>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</si>
  <si>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</si>
  <si>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</si>
  <si>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</si>
  <si>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</si>
  <si>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</si>
  <si>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</si>
  <si>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</si>
  <si>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</si>
  <si>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</si>
  <si>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</si>
  <si>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</si>
  <si>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</si>
  <si>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</si>
  <si>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</si>
  <si>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</si>
  <si>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</si>
  <si>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</si>
  <si>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</si>
  <si>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</si>
  <si>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</si>
  <si>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</si>
  <si>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</si>
  <si>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</si>
  <si>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</si>
  <si>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</si>
  <si>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</si>
  <si>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</si>
  <si>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</si>
  <si>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</si>
  <si>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</si>
  <si>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</si>
  <si>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</si>
  <si>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</si>
  <si>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</si>
  <si>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</si>
  <si>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</si>
  <si>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</si>
  <si>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</si>
  <si>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</si>
  <si>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</si>
  <si>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</si>
  <si>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</si>
  <si>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</si>
  <si>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</si>
  <si>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</si>
  <si>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</si>
  <si>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</si>
  <si>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</si>
  <si>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</si>
  <si>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</si>
  <si>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</si>
  <si>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</si>
  <si>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</si>
  <si>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</si>
  <si>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</si>
  <si>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</si>
  <si>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</si>
  <si>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</si>
  <si>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</si>
  <si>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</si>
  <si>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</si>
  <si>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</si>
  <si>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</si>
  <si>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</si>
  <si>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</si>
  <si>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</si>
  <si>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</si>
  <si>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</si>
  <si>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</si>
  <si>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</si>
  <si>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</si>
  <si>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</si>
  <si>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</si>
  <si>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</si>
  <si>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</si>
  <si>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</si>
  <si>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</si>
  <si>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</si>
  <si>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</si>
  <si>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</si>
  <si>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</si>
  <si>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</si>
  <si>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</si>
  <si>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</si>
  <si>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</si>
  <si>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</si>
  <si>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</si>
  <si>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</si>
  <si>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</si>
  <si>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</si>
  <si>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</si>
  <si>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</si>
  <si>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</si>
  <si>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</si>
  <si>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</si>
  <si>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</si>
  <si>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</si>
  <si>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</si>
  <si>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</si>
  <si>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</si>
  <si>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</si>
  <si>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</si>
  <si>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</si>
  <si>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</si>
  <si>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</si>
  <si>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</si>
  <si>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</si>
  <si>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</si>
  <si>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</si>
  <si>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</si>
  <si>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</si>
  <si>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</si>
  <si>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</si>
  <si>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</si>
  <si>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</si>
  <si>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</si>
  <si>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</si>
  <si>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</si>
  <si>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</si>
  <si>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</si>
  <si>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</si>
  <si>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</si>
  <si>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</si>
  <si>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</si>
  <si>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</si>
  <si>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</si>
  <si>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</si>
  <si>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</si>
  <si>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</si>
  <si>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</si>
  <si>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</si>
  <si>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</si>
  <si>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</si>
  <si>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</si>
  <si>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</si>
  <si>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</si>
  <si>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</si>
  <si>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</si>
  <si>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</si>
  <si>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</si>
  <si>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</si>
  <si>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</si>
  <si>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</si>
  <si>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</si>
  <si>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</si>
  <si>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</si>
  <si>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</si>
  <si>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</si>
  <si>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</si>
  <si>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</si>
  <si>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</si>
  <si>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</si>
  <si>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</si>
  <si>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</si>
  <si>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</si>
  <si>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</si>
  <si>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</si>
  <si>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</si>
  <si>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</si>
  <si>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</si>
  <si>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</si>
  <si>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</si>
  <si>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</si>
  <si>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</si>
  <si>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</si>
  <si>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</si>
  <si>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</si>
  <si>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</si>
  <si>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</si>
  <si>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</si>
  <si>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</si>
  <si>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</si>
  <si>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</si>
  <si>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</si>
  <si>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</si>
  <si>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</si>
  <si>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</si>
  <si>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</si>
  <si>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</si>
  <si>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</si>
  <si>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</si>
  <si>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</si>
  <si>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</si>
  <si>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</si>
  <si>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</si>
  <si>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</si>
  <si>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</si>
  <si>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</si>
  <si>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</si>
  <si>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</si>
  <si>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</si>
  <si>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</si>
  <si>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</si>
  <si>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</si>
  <si>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</si>
  <si>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</si>
  <si>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</si>
  <si>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</si>
  <si>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</si>
  <si>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</si>
  <si>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</si>
  <si>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</si>
  <si>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</si>
  <si>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</si>
  <si>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</si>
  <si>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</si>
  <si>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</si>
  <si>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</si>
  <si>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</si>
  <si>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</si>
  <si>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</si>
  <si>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</si>
  <si>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</si>
  <si>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</si>
  <si>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</si>
  <si>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</si>
  <si>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</si>
  <si>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</si>
  <si>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</si>
  <si>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</si>
  <si>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</si>
  <si>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</si>
  <si>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</si>
  <si>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</si>
  <si>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</si>
  <si>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</si>
  <si>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</si>
  <si>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</si>
  <si>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</si>
  <si>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</si>
  <si>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</si>
  <si>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</si>
  <si>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</si>
  <si>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</si>
  <si>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</si>
  <si>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</si>
  <si>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</si>
  <si>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</si>
  <si>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</si>
  <si>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</si>
  <si>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</si>
  <si>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</si>
  <si>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</si>
  <si>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</si>
  <si>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</si>
  <si>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</si>
  <si>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</si>
  <si>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</si>
  <si>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</si>
  <si>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</si>
  <si>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</si>
  <si>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</si>
  <si>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</si>
  <si>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</si>
  <si>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</si>
  <si>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</si>
  <si>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</si>
  <si>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</si>
  <si>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</si>
  <si>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</si>
  <si>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</si>
  <si>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</si>
  <si>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</si>
  <si>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</si>
  <si>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</si>
  <si>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</si>
  <si>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</si>
  <si>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</si>
  <si>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</si>
  <si>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</si>
  <si>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</si>
  <si>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</si>
  <si>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</si>
  <si>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</si>
  <si>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</si>
  <si>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</si>
  <si>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</si>
  <si>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</si>
  <si>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</si>
  <si>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</si>
  <si>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</si>
  <si>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</si>
  <si>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</si>
  <si>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</si>
  <si>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</si>
  <si>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</si>
  <si>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</si>
  <si>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</si>
  <si>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</si>
  <si>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</si>
  <si>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</si>
  <si>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</si>
  <si>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</si>
  <si>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</si>
  <si>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</si>
  <si>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</si>
  <si>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</si>
  <si>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</si>
  <si>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</si>
  <si>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</si>
  <si>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</si>
  <si>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</si>
  <si>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</si>
  <si>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</si>
  <si>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</si>
  <si>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</si>
  <si>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</si>
  <si>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</si>
  <si>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</si>
  <si>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</si>
  <si>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</si>
  <si>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</si>
  <si>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</si>
  <si>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</si>
  <si>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</si>
  <si>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</si>
  <si>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</si>
  <si>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</si>
  <si>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</si>
  <si>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</si>
  <si>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</si>
  <si>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</si>
  <si>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</si>
  <si>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</si>
  <si>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</si>
  <si>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</si>
  <si>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</si>
  <si>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</si>
  <si>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</si>
  <si>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</si>
  <si>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</si>
  <si>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</si>
  <si>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</si>
  <si>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</si>
  <si>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</si>
  <si>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</si>
  <si>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</si>
  <si>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</si>
  <si>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</si>
  <si>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</si>
  <si>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</si>
  <si>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</si>
  <si>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</si>
  <si>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</si>
  <si>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</si>
  <si>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</si>
  <si>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</si>
  <si>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</si>
  <si>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</si>
  <si>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</si>
  <si>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</si>
  <si>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</si>
  <si>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</si>
  <si>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</si>
  <si>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</si>
  <si>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</si>
  <si>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</si>
  <si>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</si>
  <si>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</si>
  <si>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</si>
  <si>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</si>
  <si>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</si>
  <si>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</si>
  <si>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</si>
  <si>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</si>
  <si>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</si>
  <si>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</si>
  <si>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</si>
  <si>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</si>
  <si>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</si>
  <si>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</si>
  <si>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</si>
  <si>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</si>
  <si>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</si>
  <si>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</si>
  <si>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</si>
  <si>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</si>
  <si>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</si>
  <si>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</si>
  <si>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</si>
  <si>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</si>
  <si>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</si>
  <si>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</si>
  <si>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</si>
  <si>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</si>
  <si>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</si>
  <si>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</si>
  <si>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</si>
  <si>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</si>
  <si>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</si>
  <si>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</si>
  <si>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</si>
  <si>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</si>
  <si>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</si>
  <si>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</si>
  <si>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</si>
  <si>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</si>
  <si>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</si>
  <si>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</si>
  <si>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</si>
  <si>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</si>
  <si>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</si>
  <si>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</si>
  <si>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</si>
  <si>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</si>
  <si>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</si>
  <si>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</si>
  <si>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</si>
  <si>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</si>
  <si>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</si>
  <si>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</si>
  <si>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</si>
  <si>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</si>
  <si>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</si>
  <si>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</si>
  <si>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</si>
  <si>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</si>
  <si>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</si>
  <si>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</si>
  <si>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</si>
  <si>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</si>
  <si>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</si>
  <si>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</si>
  <si>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</si>
  <si>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</si>
  <si>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</si>
  <si>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</si>
  <si>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</si>
  <si>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</si>
  <si>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</si>
  <si>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</si>
  <si>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</si>
  <si>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</si>
  <si>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</si>
  <si>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</si>
  <si>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</si>
  <si>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</si>
  <si>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</si>
  <si>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</si>
  <si>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</si>
  <si>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</si>
  <si>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</si>
  <si>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</si>
  <si>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</si>
  <si>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</si>
  <si>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</si>
  <si>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</si>
  <si>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</si>
  <si>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</si>
  <si>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</si>
  <si>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</si>
  <si>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</si>
  <si>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</si>
  <si>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</si>
  <si>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</si>
  <si>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</si>
  <si>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</si>
  <si>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</si>
  <si>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</si>
  <si>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</si>
  <si>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</si>
  <si>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</si>
  <si>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</si>
  <si>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</si>
  <si>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</si>
  <si>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</si>
  <si>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</si>
  <si>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</si>
  <si>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</si>
  <si>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</si>
  <si>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</si>
  <si>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</si>
  <si>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</si>
  <si>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</si>
  <si>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</si>
  <si>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</si>
  <si>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</si>
  <si>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</si>
  <si>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</si>
  <si>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</si>
  <si>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</si>
  <si>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</si>
  <si>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</si>
  <si>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</si>
  <si>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</si>
  <si>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</si>
  <si>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</si>
  <si>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</si>
  <si>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</si>
  <si>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</si>
  <si>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</si>
  <si>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</si>
  <si>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</si>
  <si>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</si>
  <si>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</si>
  <si>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</si>
  <si>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</si>
  <si>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</si>
  <si>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</si>
  <si>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</si>
  <si>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</si>
  <si>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</si>
  <si>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</si>
  <si>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</si>
  <si>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</si>
  <si>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</si>
  <si>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</si>
  <si>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</si>
  <si>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</si>
  <si>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</si>
  <si>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</si>
  <si>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</si>
  <si>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</si>
  <si>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</si>
  <si>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</si>
  <si>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</si>
  <si>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</si>
  <si>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</si>
  <si>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</si>
  <si>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</si>
  <si>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</si>
  <si>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</si>
  <si>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</si>
  <si>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</si>
  <si>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</si>
  <si>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</si>
  <si>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</si>
  <si>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</si>
  <si>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</si>
  <si>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</si>
  <si>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</si>
  <si>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</si>
  <si>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</si>
  <si>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</si>
  <si>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</si>
  <si>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</si>
  <si>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</si>
  <si>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</si>
  <si>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</si>
  <si>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</si>
  <si>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</si>
  <si>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</si>
  <si>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</si>
  <si>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</si>
  <si>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</si>
  <si>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</si>
  <si>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</si>
  <si>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</si>
  <si>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</si>
  <si>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</si>
  <si>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</si>
  <si>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</si>
  <si>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</si>
  <si>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</si>
  <si>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</si>
  <si>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</si>
  <si>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</si>
  <si>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</si>
  <si>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</si>
  <si>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</si>
  <si>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</si>
  <si>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</si>
  <si>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</si>
  <si>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</si>
  <si>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</si>
  <si>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</si>
  <si>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</si>
  <si>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</si>
  <si>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</si>
  <si>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</si>
  <si>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</si>
  <si>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</si>
  <si>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</si>
  <si>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</si>
  <si>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</si>
  <si>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</si>
  <si>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</si>
  <si>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</si>
  <si>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</si>
  <si>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</si>
  <si>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</si>
  <si>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</si>
  <si>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</si>
  <si>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</si>
  <si>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</si>
  <si>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</si>
  <si>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</si>
  <si>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</si>
  <si>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</si>
  <si>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</si>
  <si>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</si>
  <si>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</si>
  <si>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</si>
  <si>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</si>
  <si>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</si>
  <si>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</si>
  <si>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</si>
  <si>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</si>
  <si>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</si>
  <si>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</si>
  <si>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</si>
  <si>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</si>
  <si>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</si>
  <si>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</si>
  <si>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</si>
  <si>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</si>
  <si>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</si>
  <si>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</si>
  <si>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</si>
  <si>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</si>
  <si>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</si>
  <si>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</si>
  <si>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</si>
  <si>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</si>
  <si>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</si>
  <si>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</si>
  <si>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</si>
  <si>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</si>
  <si>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</si>
  <si>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</si>
  <si>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</si>
  <si>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</si>
  <si>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</si>
  <si>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</si>
  <si>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</si>
  <si>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</si>
  <si>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</si>
  <si>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</si>
  <si>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</si>
  <si>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</si>
  <si>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</si>
  <si>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</si>
  <si>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</si>
  <si>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</si>
  <si>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</si>
  <si>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</si>
  <si>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</si>
  <si>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</si>
  <si>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</si>
  <si>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</si>
  <si>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</si>
  <si>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</si>
  <si>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</si>
  <si>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</si>
  <si>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</si>
  <si>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</si>
  <si>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</si>
  <si>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</si>
  <si>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</si>
  <si>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</si>
  <si>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</si>
  <si>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</si>
  <si>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</si>
  <si>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</si>
  <si>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</si>
  <si>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</si>
  <si>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</si>
  <si>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</si>
  <si>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</si>
  <si>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</si>
  <si>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</si>
  <si>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</si>
  <si>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</si>
  <si>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</si>
  <si>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</si>
  <si>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</si>
  <si>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</si>
  <si>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</si>
  <si>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</si>
  <si>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</si>
  <si>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</si>
  <si>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</si>
  <si>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</si>
  <si>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</si>
  <si>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</si>
  <si>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</si>
  <si>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</si>
  <si>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</si>
  <si>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</si>
  <si>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</si>
  <si>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</si>
  <si>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</si>
  <si>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</si>
  <si>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</si>
  <si>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</si>
  <si>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</si>
  <si>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</si>
  <si>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</si>
  <si>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</si>
  <si>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</si>
  <si>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</si>
  <si>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</si>
  <si>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</si>
  <si>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</si>
  <si>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</si>
  <si>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</si>
  <si>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</si>
  <si>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</si>
  <si>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</si>
  <si>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</si>
  <si>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</si>
  <si>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</si>
  <si>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</si>
  <si>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</si>
  <si>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</si>
  <si>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</si>
  <si>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</si>
  <si>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</si>
  <si>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Kingdom Development, Inc.</t>
  </si>
  <si>
    <t>Clark Road Apartments</t>
  </si>
  <si>
    <t xml:space="preserve">William Leach </t>
  </si>
  <si>
    <t>President</t>
  </si>
  <si>
    <t>Town of Paradise</t>
  </si>
  <si>
    <t>5555 Skyway</t>
  </si>
  <si>
    <t>Paradise</t>
  </si>
  <si>
    <t>(530)872-6291</t>
  </si>
  <si>
    <t>6480 Clark Road</t>
  </si>
  <si>
    <t>050-200-010, 050-200-154, 050-200-157, 050-200-158</t>
  </si>
  <si>
    <t>40%/60%</t>
  </si>
  <si>
    <t>6451 Box Springs Blvd</t>
  </si>
  <si>
    <t>CA</t>
  </si>
  <si>
    <t>William Leach</t>
  </si>
  <si>
    <t>(951) 538-6244</t>
  </si>
  <si>
    <t>William@kingdomdevelopment.net</t>
  </si>
  <si>
    <t>Administrative GP</t>
  </si>
  <si>
    <t>Managing GP</t>
  </si>
  <si>
    <t>Kingdom CE, LLC</t>
  </si>
  <si>
    <t xml:space="preserve">Kingdom Development, Inc. </t>
  </si>
  <si>
    <t>Zen Development, LLC</t>
  </si>
  <si>
    <t>222 Redwood Drive</t>
  </si>
  <si>
    <t>Zen Sawyer</t>
  </si>
  <si>
    <t>(818) 653-3899</t>
  </si>
  <si>
    <t>Zen@zendevelopment.org</t>
  </si>
  <si>
    <t>General Partner/ Applicant/ Consultant</t>
  </si>
  <si>
    <t>Derra Design</t>
  </si>
  <si>
    <t>23335 N. 18th Drive, Suite 120</t>
  </si>
  <si>
    <t>Phoenix, AZ 85027</t>
  </si>
  <si>
    <t>William Atkins</t>
  </si>
  <si>
    <t>(951) 529-1710</t>
  </si>
  <si>
    <t>bill.atkins@derradesign.com</t>
  </si>
  <si>
    <t xml:space="preserve">Goldfarb &amp; Lipman </t>
  </si>
  <si>
    <t>1300 Clay Street 11th Floor</t>
  </si>
  <si>
    <t>Oakland CA 94612</t>
  </si>
  <si>
    <t>Robert C. Mills</t>
  </si>
  <si>
    <t>(510) 836-6336</t>
  </si>
  <si>
    <t>RMills@goldfarblipman.com</t>
  </si>
  <si>
    <t>Sunseri Construction, Inc.</t>
  </si>
  <si>
    <t>48 Comanche Court</t>
  </si>
  <si>
    <t>Chico, CA 95928</t>
  </si>
  <si>
    <t>Donny Lieberman</t>
  </si>
  <si>
    <t>(916)-919-6800</t>
  </si>
  <si>
    <t>dl@sunsericonstruction.com</t>
  </si>
  <si>
    <t>TBD</t>
  </si>
  <si>
    <t>NovoGradac &amp; Company LLP</t>
  </si>
  <si>
    <t>1300 114th Ave SE Suite 240</t>
  </si>
  <si>
    <t>Bellevue, WA 98004</t>
  </si>
  <si>
    <t>Thomas Stagg, CPA, HCCP</t>
  </si>
  <si>
    <t>(425) 519-1234</t>
  </si>
  <si>
    <t>Thomas.Stagg@novoco.com</t>
  </si>
  <si>
    <t>CREA</t>
  </si>
  <si>
    <t>12396 Wold Trade Dr Suite 307</t>
  </si>
  <si>
    <t>San Diego, CA 9218</t>
  </si>
  <si>
    <t>Matt Marientahl</t>
  </si>
  <si>
    <t>(858)386-5198</t>
  </si>
  <si>
    <t>mmarienthal@creallc.com</t>
  </si>
  <si>
    <t>6451 Box Springs Blvd.</t>
  </si>
  <si>
    <t>Riverside, CA, 92507</t>
  </si>
  <si>
    <t xml:space="preserve">Raney Planning </t>
  </si>
  <si>
    <t>1501 Sports Drive, Suite A</t>
  </si>
  <si>
    <t>Sacramento, CA, 95834</t>
  </si>
  <si>
    <t>Stefanie Williams</t>
  </si>
  <si>
    <t>swilliams@laurinassociates.com</t>
  </si>
  <si>
    <t>Novogradac</t>
  </si>
  <si>
    <t>6700 Antioch Road, Suite 450</t>
  </si>
  <si>
    <t>Merriam, Kansas, 66204</t>
  </si>
  <si>
    <t>Rachel Denton</t>
  </si>
  <si>
    <t>(913) 312-4612</t>
  </si>
  <si>
    <t>Rachel.Denton@novoco.com</t>
  </si>
  <si>
    <t>The John Stewart Company</t>
  </si>
  <si>
    <t>1388 Sutter Street 11th Floor</t>
  </si>
  <si>
    <t>San Francisco, CA 95109</t>
  </si>
  <si>
    <t>Tracy Esposito</t>
  </si>
  <si>
    <t>(415) 345-4400</t>
  </si>
  <si>
    <t>tesposito@jsco.net</t>
  </si>
  <si>
    <t>WLM Construction, Inc</t>
  </si>
  <si>
    <t>Ann Martin</t>
  </si>
  <si>
    <t>Authorized Signer</t>
  </si>
  <si>
    <t xml:space="preserve">5822 Acorn Ridge Drive </t>
  </si>
  <si>
    <t>Paradise CA 95969</t>
  </si>
  <si>
    <t xml:space="preserve">(530) 520-5178  </t>
  </si>
  <si>
    <t>One or Two Story Garden</t>
  </si>
  <si>
    <t>TC - Town- Commercial</t>
  </si>
  <si>
    <t>Community Commercial &lt;/= 10 units per acre</t>
  </si>
  <si>
    <t>TR 1/3 and CC</t>
  </si>
  <si>
    <t>maximum of 35 ft</t>
  </si>
  <si>
    <t>CDBG</t>
  </si>
  <si>
    <t>Citibank - Construction Loan</t>
  </si>
  <si>
    <t>Fixed</t>
  </si>
  <si>
    <t>Deferred Cost</t>
  </si>
  <si>
    <t>325 E. Hillcrest Dr, Ste 160</t>
  </si>
  <si>
    <t>Thousand Oaks, CA 91360</t>
  </si>
  <si>
    <t>Mike Hemmens, Vice President</t>
  </si>
  <si>
    <t>(805) 557-0933</t>
  </si>
  <si>
    <t>Conventional Loan</t>
  </si>
  <si>
    <t>Equity</t>
  </si>
  <si>
    <t>222 Redwood Dr</t>
  </si>
  <si>
    <t>Perm Loan- Citi Bank</t>
  </si>
  <si>
    <t>CDBG-DRMHP</t>
  </si>
  <si>
    <t>Deferred Developer fee</t>
  </si>
  <si>
    <t>Michael Hemmens, Vice President</t>
  </si>
  <si>
    <t>2020 W. El Camino Ave, Ste 200</t>
  </si>
  <si>
    <t>Sacramento, CA 95833</t>
  </si>
  <si>
    <t>Stacy Rodgers</t>
  </si>
  <si>
    <t>(916) 263-2771</t>
  </si>
  <si>
    <t>A/C</t>
  </si>
  <si>
    <t>Housing Authority of the County of Butte</t>
  </si>
  <si>
    <t>HA of County of Butte</t>
  </si>
  <si>
    <t>Project-based vouchers (PBVs)</t>
  </si>
  <si>
    <t>Project base vouchers and CDGB</t>
  </si>
  <si>
    <t>Supplies</t>
  </si>
  <si>
    <t>Bond issuance</t>
  </si>
  <si>
    <t>Bridge Loan Interest/Legal</t>
  </si>
  <si>
    <t>CDBG-DR</t>
  </si>
  <si>
    <t>1 bedroom</t>
  </si>
  <si>
    <t>2 bedroom</t>
  </si>
  <si>
    <t>3 bedroom</t>
  </si>
  <si>
    <t>Save Mart</t>
  </si>
  <si>
    <t>6636 Clark Road</t>
  </si>
  <si>
    <t>Paradise, 95969</t>
  </si>
  <si>
    <t>Manager on Duty</t>
  </si>
  <si>
    <t>(530)877-0522</t>
  </si>
  <si>
    <t>https://savemart.com/?utm_source=google&amp;utm_medium=organic&amp;utm_campaign=maps</t>
  </si>
  <si>
    <t>Butte Regional Transit</t>
  </si>
  <si>
    <t>326  Huss Drive #125</t>
  </si>
  <si>
    <t>Chico, 95928</t>
  </si>
  <si>
    <t>Sara Cain</t>
  </si>
  <si>
    <t>(530)342-0221</t>
  </si>
  <si>
    <t>https://www.blinetransit.com/</t>
  </si>
  <si>
    <t>Moore Road Ballpark</t>
  </si>
  <si>
    <t xml:space="preserve">6705 Moore, Rd </t>
  </si>
  <si>
    <t>(530)872-6393</t>
  </si>
  <si>
    <t>https://www.paradiseprpd.com/moore-road-ball-park-lezlie-morrow-memorial-dog-park-horse-arena</t>
  </si>
  <si>
    <t>Butte County Library, Paradise Branch</t>
  </si>
  <si>
    <t>5922 Clark Rd</t>
  </si>
  <si>
    <t>Manager on duty</t>
  </si>
  <si>
    <t>(530)552-5652</t>
  </si>
  <si>
    <t>https://www.buttecounty.net/1663/Locations-Hours-and-Contacts</t>
  </si>
  <si>
    <t xml:space="preserve">Paradise Ridge elementary FKA Ponderosa </t>
  </si>
  <si>
    <t>6593 Pentz Road</t>
  </si>
  <si>
    <t>Edward Gregorio</t>
  </si>
  <si>
    <t>(530)872-6415</t>
  </si>
  <si>
    <t>http://pres.pusdk12.org/</t>
  </si>
  <si>
    <t>Walgreens</t>
  </si>
  <si>
    <t>7576 Skyway</t>
  </si>
  <si>
    <t>(530)876-8222</t>
  </si>
  <si>
    <t>https://www.walgreens.com/findcare/services?ext=gmb</t>
  </si>
  <si>
    <t>June</t>
  </si>
  <si>
    <t>Ofice expenses</t>
  </si>
  <si>
    <t>January 29,2024</t>
  </si>
  <si>
    <t>Woodacre, CA 94973</t>
  </si>
  <si>
    <t>Dennis Ivey - Assistant Town Manager</t>
  </si>
  <si>
    <t>divey@townofparadise.com</t>
  </si>
  <si>
    <t>Woodacre</t>
  </si>
  <si>
    <t>Woodacre, CA, 94973</t>
  </si>
  <si>
    <t>Tax Credit Equity - CREA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</si>
</sst>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9" fontId="12" fillId="0" borderId="12" xfId="573" applyFont="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7" fontId="3" fillId="7" borderId="4" xfId="0" applyNumberFormat="1" applyFont="1" applyFill="1" applyBorder="1" applyAlignment="1" applyProtection="1">
      <alignment horizontal="lef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98425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68" t="s">
        <v>1870</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2314</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2303</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2015</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2" t="s">
        <v>2156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2157</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2158</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2315</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4" t="s">
        <v>1820</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1821</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1822</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1817</v>
      </c>
    </row>
    <row r="366" spans="1:38" s="977" customFormat="1">
      <c r="A366"/>
      <c r="B366" s="3"/>
      <c r="C366"/>
      <c r="D366"/>
    </row>
    <row r="367" spans="1:38">
      <c r="B367" s="3"/>
      <c r="F367" s="975" t="s">
        <v>1818</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3" workbookViewId="0">
      <selection activeCell="E90" sqref="E90"/>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3" t="s">
        <v>1862</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8" t="s">
        <v>2119</v>
      </c>
      <c r="C4" s="1928"/>
      <c r="D4" s="1928"/>
      <c r="E4" s="1928"/>
      <c r="F4" s="1928"/>
      <c r="G4" s="1928"/>
      <c r="H4" s="1928"/>
      <c r="I4" s="1928"/>
      <c r="J4" s="1928"/>
      <c r="K4" s="1928"/>
      <c r="L4" s="1928"/>
      <c r="M4" s="1928"/>
      <c r="N4" s="1928"/>
      <c r="O4" s="1928"/>
      <c r="P4" s="1928"/>
      <c r="Q4" s="1928"/>
      <c r="R4" s="1928"/>
    </row>
    <row r="5" spans="1:19" ht="15" customHeight="1">
      <c r="A5" s="507"/>
      <c r="B5" s="1928"/>
      <c r="C5" s="1928"/>
      <c r="D5" s="1928"/>
      <c r="E5" s="1928"/>
      <c r="F5" s="1928"/>
      <c r="G5" s="1928"/>
      <c r="H5" s="1928"/>
      <c r="I5" s="1928"/>
      <c r="J5" s="1928"/>
      <c r="K5" s="1928"/>
      <c r="L5" s="1928"/>
      <c r="M5" s="1928"/>
      <c r="N5" s="1928"/>
      <c r="O5" s="1928"/>
      <c r="P5" s="1928"/>
      <c r="Q5" s="1928"/>
      <c r="R5" s="1928"/>
    </row>
    <row r="6" spans="1:19" ht="15" customHeight="1">
      <c r="A6" s="507"/>
      <c r="B6" s="1928"/>
      <c r="C6" s="1928"/>
      <c r="D6" s="1928"/>
      <c r="E6" s="1928"/>
      <c r="F6" s="1928"/>
      <c r="G6" s="1928"/>
      <c r="H6" s="1928"/>
      <c r="I6" s="1928"/>
      <c r="J6" s="1928"/>
      <c r="K6" s="1928"/>
      <c r="L6" s="1928"/>
      <c r="M6" s="1928"/>
      <c r="N6" s="1928"/>
      <c r="O6" s="1928"/>
      <c r="P6" s="1928"/>
      <c r="Q6" s="1928"/>
      <c r="R6" s="192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8" t="s">
        <v>2226</v>
      </c>
      <c r="C8" s="1928"/>
      <c r="D8" s="1928"/>
      <c r="E8" s="1928"/>
      <c r="F8" s="1928"/>
      <c r="G8" s="1928"/>
      <c r="H8" s="1928"/>
      <c r="I8" s="1928"/>
      <c r="J8" s="1928"/>
      <c r="K8" s="1928"/>
      <c r="L8" s="1928"/>
      <c r="M8" s="1928"/>
      <c r="N8" s="1928"/>
      <c r="O8" s="1928"/>
      <c r="P8" s="1928"/>
      <c r="Q8" s="1928"/>
      <c r="R8" s="192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8" t="s">
        <v>2205</v>
      </c>
      <c r="C10" s="1928"/>
      <c r="D10" s="1928"/>
      <c r="E10" s="1928"/>
      <c r="F10" s="1928"/>
      <c r="G10" s="1928"/>
      <c r="H10" s="1928"/>
      <c r="I10" s="1928"/>
      <c r="J10" s="1928"/>
      <c r="K10" s="1928"/>
      <c r="L10" s="1928"/>
      <c r="M10" s="1928"/>
      <c r="N10" s="1928"/>
      <c r="O10" s="1928"/>
      <c r="P10" s="1928"/>
      <c r="Q10" s="1928"/>
      <c r="R10" s="1928"/>
    </row>
    <row r="11" spans="1:19" ht="29.25" customHeight="1">
      <c r="A11" s="507"/>
      <c r="B11" s="1928"/>
      <c r="C11" s="1928"/>
      <c r="D11" s="1928"/>
      <c r="E11" s="1928"/>
      <c r="F11" s="1928"/>
      <c r="G11" s="1928"/>
      <c r="H11" s="1928"/>
      <c r="I11" s="1928"/>
      <c r="J11" s="1928"/>
      <c r="K11" s="1928"/>
      <c r="L11" s="1928"/>
      <c r="M11" s="1928"/>
      <c r="N11" s="1928"/>
      <c r="O11" s="1928"/>
      <c r="P11" s="1928"/>
      <c r="Q11" s="1928"/>
      <c r="R11" s="192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8" t="s">
        <v>2120</v>
      </c>
      <c r="C13" s="1928"/>
      <c r="D13" s="1928"/>
      <c r="E13" s="1928"/>
      <c r="F13" s="1928"/>
      <c r="G13" s="1928"/>
      <c r="H13" s="1928"/>
      <c r="I13" s="1928"/>
      <c r="J13" s="1928"/>
      <c r="K13" s="1928"/>
      <c r="L13" s="1928"/>
      <c r="M13" s="1928"/>
      <c r="N13" s="1928"/>
      <c r="O13" s="1928"/>
      <c r="P13" s="1928"/>
      <c r="Q13" s="1928"/>
      <c r="R13" s="1928"/>
    </row>
    <row r="14" spans="1:19" ht="15" customHeight="1">
      <c r="A14" s="507"/>
      <c r="B14" s="1928"/>
      <c r="C14" s="1928"/>
      <c r="D14" s="1928"/>
      <c r="E14" s="1928"/>
      <c r="F14" s="1928"/>
      <c r="G14" s="1928"/>
      <c r="H14" s="1928"/>
      <c r="I14" s="1928"/>
      <c r="J14" s="1928"/>
      <c r="K14" s="1928"/>
      <c r="L14" s="1928"/>
      <c r="M14" s="1928"/>
      <c r="N14" s="1928"/>
      <c r="O14" s="1928"/>
      <c r="P14" s="1928"/>
      <c r="Q14" s="1928"/>
      <c r="R14" s="1928"/>
    </row>
    <row r="15" spans="1:19" ht="15" customHeight="1">
      <c r="A15" s="507"/>
      <c r="B15" s="1928"/>
      <c r="C15" s="1928"/>
      <c r="D15" s="1928"/>
      <c r="E15" s="1928"/>
      <c r="F15" s="1928"/>
      <c r="G15" s="1928"/>
      <c r="H15" s="1928"/>
      <c r="I15" s="1928"/>
      <c r="J15" s="1928"/>
      <c r="K15" s="1928"/>
      <c r="L15" s="1928"/>
      <c r="M15" s="1928"/>
      <c r="N15" s="1928"/>
      <c r="O15" s="1928"/>
      <c r="P15" s="1928"/>
      <c r="Q15" s="1928"/>
      <c r="R15" s="1928"/>
    </row>
    <row r="16" spans="1:19" ht="15" customHeight="1">
      <c r="A16" s="507"/>
      <c r="B16" s="1928"/>
      <c r="C16" s="1928"/>
      <c r="D16" s="1928"/>
      <c r="E16" s="1928"/>
      <c r="F16" s="1928"/>
      <c r="G16" s="1928"/>
      <c r="H16" s="1928"/>
      <c r="I16" s="1928"/>
      <c r="J16" s="1928"/>
      <c r="K16" s="1928"/>
      <c r="L16" s="1928"/>
      <c r="M16" s="1928"/>
      <c r="N16" s="1928"/>
      <c r="O16" s="1928"/>
      <c r="P16" s="1928"/>
      <c r="Q16" s="1928"/>
      <c r="R16" s="1928"/>
    </row>
    <row r="17" spans="1:18" ht="15" customHeight="1">
      <c r="A17" s="507"/>
      <c r="B17" s="1928"/>
      <c r="C17" s="1928"/>
      <c r="D17" s="1928"/>
      <c r="E17" s="1928"/>
      <c r="F17" s="1928"/>
      <c r="G17" s="1928"/>
      <c r="H17" s="1928"/>
      <c r="I17" s="1928"/>
      <c r="J17" s="1928"/>
      <c r="K17" s="1928"/>
      <c r="L17" s="1928"/>
      <c r="M17" s="1928"/>
      <c r="N17" s="1928"/>
      <c r="O17" s="1928"/>
      <c r="P17" s="1928"/>
      <c r="Q17" s="1928"/>
      <c r="R17" s="192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8" t="s">
        <v>1801</v>
      </c>
      <c r="C19" s="1928"/>
      <c r="D19" s="1928"/>
      <c r="E19" s="1928"/>
      <c r="F19" s="1928"/>
      <c r="G19" s="1928"/>
      <c r="H19" s="1928"/>
      <c r="I19" s="1928"/>
      <c r="J19" s="1928"/>
      <c r="K19" s="1928"/>
      <c r="L19" s="1928"/>
      <c r="M19" s="1928"/>
      <c r="N19" s="1928"/>
      <c r="O19" s="1928"/>
      <c r="P19" s="1928"/>
      <c r="Q19" s="1928"/>
      <c r="R19" s="1928"/>
    </row>
    <row r="20" spans="1:18" ht="15" customHeight="1">
      <c r="A20" s="507"/>
      <c r="B20" s="1928"/>
      <c r="C20" s="1928"/>
      <c r="D20" s="1928"/>
      <c r="E20" s="1928"/>
      <c r="F20" s="1928"/>
      <c r="G20" s="1928"/>
      <c r="H20" s="1928"/>
      <c r="I20" s="1928"/>
      <c r="J20" s="1928"/>
      <c r="K20" s="1928"/>
      <c r="L20" s="1928"/>
      <c r="M20" s="1928"/>
      <c r="N20" s="1928"/>
      <c r="O20" s="1928"/>
      <c r="P20" s="1928"/>
      <c r="Q20" s="1928"/>
      <c r="R20" s="1928"/>
    </row>
    <row r="21" spans="1:18" ht="15" customHeight="1">
      <c r="A21" s="507"/>
      <c r="B21" s="1928"/>
      <c r="C21" s="1928"/>
      <c r="D21" s="1928"/>
      <c r="E21" s="1928"/>
      <c r="F21" s="1928"/>
      <c r="G21" s="1928"/>
      <c r="H21" s="1928"/>
      <c r="I21" s="1928"/>
      <c r="J21" s="1928"/>
      <c r="K21" s="1928"/>
      <c r="L21" s="1928"/>
      <c r="M21" s="1928"/>
      <c r="N21" s="1928"/>
      <c r="O21" s="1928"/>
      <c r="P21" s="1928"/>
      <c r="Q21" s="1928"/>
      <c r="R21" s="192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8" t="s">
        <v>1802</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8" t="s">
        <v>1695</v>
      </c>
      <c r="C26" s="1928"/>
      <c r="D26" s="1928"/>
      <c r="E26" s="1928"/>
      <c r="F26" s="1928"/>
      <c r="G26" s="1928"/>
      <c r="H26" s="1928"/>
      <c r="I26" s="1928"/>
      <c r="J26" s="1928"/>
      <c r="K26" s="1928"/>
      <c r="L26" s="1928"/>
      <c r="M26" s="1928"/>
      <c r="N26" s="1928"/>
      <c r="O26" s="1928"/>
      <c r="P26" s="1928"/>
      <c r="Q26" s="1928"/>
      <c r="R26" s="192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4" t="s">
        <v>1608</v>
      </c>
      <c r="C29" s="1954"/>
      <c r="D29" s="1954"/>
      <c r="E29" s="1954"/>
      <c r="F29" s="1954"/>
      <c r="G29" s="1954"/>
      <c r="H29" s="376"/>
      <c r="I29" s="376"/>
      <c r="J29" s="376"/>
      <c r="K29" s="376"/>
      <c r="L29" s="376"/>
      <c r="M29" s="376"/>
      <c r="N29" s="376"/>
      <c r="O29" s="1952" t="s">
        <v>1617</v>
      </c>
    </row>
    <row r="30" spans="1:18" ht="15" customHeight="1">
      <c r="B30" s="1954"/>
      <c r="C30" s="1954"/>
      <c r="D30" s="1954"/>
      <c r="E30" s="1954"/>
      <c r="F30" s="1954"/>
      <c r="G30" s="1954"/>
      <c r="H30" s="376"/>
      <c r="I30" s="376"/>
      <c r="J30" s="376"/>
      <c r="K30" s="376"/>
      <c r="L30" s="376"/>
      <c r="M30" s="376"/>
      <c r="N30" s="376"/>
      <c r="O30" s="1952"/>
    </row>
    <row r="31" spans="1:18" ht="15" customHeight="1">
      <c r="B31" s="1954"/>
      <c r="C31" s="1954"/>
      <c r="D31" s="1954"/>
      <c r="E31" s="1954"/>
      <c r="F31" s="1954"/>
      <c r="G31" s="1954"/>
      <c r="H31" s="376"/>
      <c r="I31" s="376"/>
      <c r="J31" s="376"/>
      <c r="K31" s="376"/>
      <c r="L31" s="376"/>
      <c r="M31" s="376"/>
      <c r="N31" s="376"/>
      <c r="O31" s="1952"/>
    </row>
    <row r="32" spans="1:18" ht="15" customHeight="1">
      <c r="B32" s="1955"/>
      <c r="C32" s="1955"/>
      <c r="D32" s="1955"/>
      <c r="E32" s="1955"/>
      <c r="F32" s="1955"/>
      <c r="G32" s="1955"/>
      <c r="I32" s="1921" t="s">
        <v>139</v>
      </c>
      <c r="J32" s="1922" t="s">
        <v>992</v>
      </c>
      <c r="K32" s="1956">
        <v>1</v>
      </c>
      <c r="M32" s="509"/>
      <c r="O32" s="1953"/>
      <c r="P32" s="1922" t="s">
        <v>1940</v>
      </c>
    </row>
    <row r="33" spans="1:21" ht="15" customHeight="1">
      <c r="B33" s="1957" t="s">
        <v>1612</v>
      </c>
      <c r="C33" s="1957"/>
      <c r="D33" s="1957"/>
      <c r="E33" s="1957"/>
      <c r="F33" s="1957"/>
      <c r="G33" s="1957"/>
      <c r="I33" s="1921"/>
      <c r="J33" s="1922"/>
      <c r="K33" s="1956"/>
      <c r="M33" s="510"/>
      <c r="O33" s="1957" t="s">
        <v>1612</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4" t="s">
        <v>1602</v>
      </c>
      <c r="C37" s="1944"/>
      <c r="D37" s="1944"/>
      <c r="E37" s="1944"/>
      <c r="F37" s="516"/>
      <c r="G37" s="516"/>
      <c r="H37" s="517"/>
      <c r="I37" s="376"/>
      <c r="J37" s="376"/>
      <c r="L37" s="529"/>
      <c r="M37" s="529"/>
      <c r="N37" s="529"/>
      <c r="O37" s="529"/>
      <c r="P37" s="529"/>
      <c r="Q37" s="529"/>
      <c r="R37" s="529"/>
      <c r="S37" s="529"/>
    </row>
    <row r="38" spans="1:21" ht="15" customHeight="1">
      <c r="B38" s="1931" t="s">
        <v>1618</v>
      </c>
      <c r="C38" s="1931"/>
      <c r="D38" s="1931"/>
      <c r="E38" s="1931"/>
      <c r="F38" s="650"/>
      <c r="G38" s="518">
        <f>D110</f>
        <v>2491926.3411914376</v>
      </c>
      <c r="H38" s="384"/>
      <c r="I38" s="519"/>
      <c r="J38" s="384"/>
      <c r="K38" s="1940" t="s">
        <v>2223</v>
      </c>
      <c r="L38" s="1940"/>
      <c r="M38" s="1940"/>
      <c r="N38" s="1940"/>
      <c r="O38" s="1940"/>
      <c r="P38" s="1940"/>
      <c r="Q38" s="1940"/>
      <c r="R38" s="1940"/>
      <c r="S38" s="1940"/>
    </row>
    <row r="39" spans="1:21" ht="15" customHeight="1">
      <c r="B39" s="1939" t="s">
        <v>1283</v>
      </c>
      <c r="C39" s="1939"/>
      <c r="D39" s="1939"/>
      <c r="E39" s="1939"/>
      <c r="F39" s="650"/>
      <c r="G39" s="632"/>
      <c r="H39" s="384"/>
      <c r="I39" s="519"/>
      <c r="J39" s="384"/>
      <c r="K39" s="1940"/>
      <c r="L39" s="1940"/>
      <c r="M39" s="1940"/>
      <c r="N39" s="1940"/>
      <c r="O39" s="1940"/>
      <c r="P39" s="1940"/>
      <c r="Q39" s="1940"/>
      <c r="R39" s="1940"/>
      <c r="S39" s="1940"/>
    </row>
    <row r="40" spans="1:21" ht="15" customHeight="1">
      <c r="B40" s="1939" t="s">
        <v>1284</v>
      </c>
      <c r="C40" s="1939"/>
      <c r="D40" s="1939"/>
      <c r="E40" s="1939"/>
      <c r="F40" s="650"/>
      <c r="G40" s="632"/>
      <c r="H40" s="384"/>
      <c r="I40" s="519"/>
      <c r="J40" s="384"/>
      <c r="K40" s="1940"/>
      <c r="L40" s="1940"/>
      <c r="M40" s="1940"/>
      <c r="N40" s="1940"/>
      <c r="O40" s="1940"/>
      <c r="P40" s="1940"/>
      <c r="Q40" s="1940"/>
      <c r="R40" s="1940"/>
      <c r="S40" s="1940"/>
    </row>
    <row r="41" spans="1:21" ht="15" customHeight="1">
      <c r="B41" s="1949" t="s">
        <v>1613</v>
      </c>
      <c r="C41" s="1949"/>
      <c r="D41" s="1949"/>
      <c r="E41" s="1949"/>
      <c r="F41" s="650"/>
      <c r="G41" s="384"/>
      <c r="H41" s="384"/>
      <c r="I41" s="519"/>
      <c r="J41" s="384"/>
      <c r="K41" s="1933" t="s">
        <v>124</v>
      </c>
      <c r="L41" s="1933"/>
      <c r="M41" s="1933"/>
      <c r="N41" s="1933"/>
      <c r="O41" s="1933"/>
      <c r="P41" s="1933"/>
      <c r="Q41" s="1933"/>
      <c r="R41" s="1933"/>
      <c r="S41" s="1933"/>
    </row>
    <row r="42" spans="1:21" ht="15" customHeight="1">
      <c r="B42" s="634" t="s">
        <v>2435</v>
      </c>
      <c r="C42" s="634"/>
      <c r="D42" s="628"/>
      <c r="E42" s="652">
        <v>13497650</v>
      </c>
      <c r="F42" s="650"/>
      <c r="G42" s="384"/>
      <c r="H42" s="384"/>
      <c r="I42" s="519"/>
      <c r="J42" s="384"/>
      <c r="K42" s="1938"/>
      <c r="L42" s="1938"/>
      <c r="M42" s="1938"/>
      <c r="N42" s="1938"/>
      <c r="O42" s="1938"/>
      <c r="Q42" s="1918"/>
      <c r="R42" s="1918"/>
      <c r="U42" s="754" t="s">
        <v>124</v>
      </c>
    </row>
    <row r="43" spans="1:21" ht="15" customHeight="1">
      <c r="B43" s="634"/>
      <c r="C43" s="634"/>
      <c r="D43" s="504"/>
      <c r="E43" s="652"/>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1853</v>
      </c>
      <c r="Q44" s="1918"/>
      <c r="R44" s="1918"/>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5" t="s">
        <v>1849</v>
      </c>
      <c r="L46" s="1915"/>
      <c r="M46" s="1915"/>
      <c r="N46" s="1915"/>
      <c r="O46" s="1915"/>
      <c r="Q46" s="1913"/>
      <c r="R46" s="1913"/>
    </row>
    <row r="47" spans="1:21" ht="15" customHeight="1">
      <c r="B47" s="634"/>
      <c r="C47" s="634"/>
      <c r="D47" s="504"/>
      <c r="E47" s="652"/>
      <c r="F47" s="650"/>
      <c r="G47" s="384"/>
      <c r="H47" s="384"/>
      <c r="I47" s="519"/>
      <c r="J47" s="384"/>
      <c r="K47" s="1914" t="s">
        <v>1850</v>
      </c>
      <c r="L47" s="1914"/>
      <c r="M47" s="1914"/>
      <c r="N47" s="1914"/>
      <c r="O47" s="1914"/>
      <c r="Q47" s="1951"/>
      <c r="R47" s="1951"/>
    </row>
    <row r="48" spans="1:21" ht="15" customHeight="1">
      <c r="B48" s="634"/>
      <c r="C48" s="634"/>
      <c r="D48" s="504"/>
      <c r="E48" s="652"/>
      <c r="F48" s="650"/>
      <c r="G48" s="384"/>
      <c r="H48" s="384"/>
      <c r="I48" s="519"/>
      <c r="J48" s="384"/>
      <c r="K48" s="1950" t="s">
        <v>1851</v>
      </c>
      <c r="L48" s="1950"/>
      <c r="M48" s="1950"/>
      <c r="N48" s="1950"/>
      <c r="O48" s="1950"/>
      <c r="Q48" s="1915">
        <f>Q46+Q47</f>
        <v>0</v>
      </c>
      <c r="R48" s="1915"/>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1" t="s">
        <v>1609</v>
      </c>
      <c r="C52" s="1931"/>
      <c r="D52" s="1931"/>
      <c r="E52" s="1931"/>
      <c r="F52" s="650"/>
      <c r="G52" s="518">
        <f>SUM(E42:E49)-ABS(E50)-ABS(E51)</f>
        <v>13497650</v>
      </c>
      <c r="H52" s="384"/>
      <c r="I52" s="519"/>
      <c r="J52" s="384"/>
    </row>
    <row r="53" spans="1:29" ht="15" customHeight="1">
      <c r="C53" s="523"/>
      <c r="D53" s="523" t="s">
        <v>875</v>
      </c>
      <c r="E53" s="523"/>
      <c r="F53" s="523"/>
      <c r="G53" s="524">
        <f>SUM(G38:G40)+G52</f>
        <v>15989576.341191437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0" t="s">
        <v>1264</v>
      </c>
      <c r="C56" s="1930"/>
      <c r="D56" s="650"/>
      <c r="E56" s="650"/>
      <c r="F56" s="650"/>
      <c r="G56" s="650"/>
      <c r="H56" s="650"/>
      <c r="I56" s="650"/>
      <c r="J56" s="650"/>
      <c r="K56" s="650"/>
      <c r="L56" s="650"/>
      <c r="M56" s="650"/>
      <c r="N56" s="650"/>
      <c r="O56" s="650"/>
      <c r="P56" s="650"/>
      <c r="U56" s="951" t="s">
        <v>1796</v>
      </c>
      <c r="AC56" s="952">
        <v>0.2</v>
      </c>
    </row>
    <row r="57" spans="1:29" ht="15" customHeight="1">
      <c r="A57" s="521"/>
      <c r="B57" s="1929" t="s">
        <v>1604</v>
      </c>
      <c r="C57" s="1929"/>
      <c r="D57" s="1929"/>
      <c r="E57" s="1929"/>
      <c r="F57" s="1929"/>
      <c r="G57" s="1929"/>
      <c r="H57" s="1929"/>
      <c r="I57" s="1929"/>
      <c r="J57" s="1929"/>
      <c r="K57" s="1929"/>
      <c r="L57" s="1929"/>
      <c r="M57" s="1929"/>
      <c r="N57" s="1929"/>
      <c r="O57" s="1929"/>
      <c r="P57" s="650"/>
      <c r="U57" s="951" t="s">
        <v>1797</v>
      </c>
      <c r="AC57" s="952">
        <v>0.1</v>
      </c>
    </row>
    <row r="58" spans="1:29" ht="15" customHeight="1">
      <c r="B58" s="1944" t="s">
        <v>2221</v>
      </c>
      <c r="C58" s="1945"/>
      <c r="D58" s="1945"/>
      <c r="E58" s="1945"/>
      <c r="F58" s="526"/>
      <c r="G58" s="526"/>
      <c r="H58" s="516"/>
      <c r="I58" s="516"/>
      <c r="J58" s="1946">
        <f>('Sources and Uses Budget'!D104+Q47)/('Sources and Uses Budget'!B104+Q48)</f>
        <v>0</v>
      </c>
      <c r="K58" s="1947"/>
      <c r="L58" s="1947"/>
      <c r="M58" s="1947"/>
      <c r="N58" s="1948"/>
      <c r="O58" s="516"/>
      <c r="P58" s="516"/>
      <c r="U58" s="951" t="s">
        <v>1798</v>
      </c>
      <c r="AC58" s="952">
        <v>0.1</v>
      </c>
    </row>
    <row r="59" spans="1:29" ht="15" customHeight="1">
      <c r="B59" s="1928" t="s">
        <v>2121</v>
      </c>
      <c r="C59" s="1928"/>
      <c r="D59" s="1928"/>
      <c r="E59" s="1928"/>
      <c r="F59" s="1928"/>
      <c r="G59" s="1928"/>
      <c r="H59" s="1928"/>
      <c r="I59" s="1928"/>
      <c r="J59" s="1928"/>
      <c r="K59" s="1928"/>
      <c r="L59" s="1928"/>
      <c r="M59" s="1928"/>
      <c r="N59" s="1928"/>
      <c r="O59" s="1928"/>
      <c r="P59" s="516"/>
      <c r="U59" s="951" t="s">
        <v>1799</v>
      </c>
      <c r="AC59" s="952">
        <v>0.05</v>
      </c>
    </row>
    <row r="60" spans="1:29" ht="15" customHeight="1">
      <c r="B60" s="1928"/>
      <c r="C60" s="1928"/>
      <c r="D60" s="1928"/>
      <c r="E60" s="1928"/>
      <c r="F60" s="1928"/>
      <c r="G60" s="1928"/>
      <c r="H60" s="1928"/>
      <c r="I60" s="1928"/>
      <c r="J60" s="1928"/>
      <c r="K60" s="1928"/>
      <c r="L60" s="1928"/>
      <c r="M60" s="1928"/>
      <c r="N60" s="1928"/>
      <c r="O60" s="1928"/>
      <c r="P60" s="516"/>
      <c r="AC60" s="953"/>
    </row>
    <row r="61" spans="1:29" ht="15" customHeight="1">
      <c r="B61" s="192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9"/>
      <c r="D61" s="1929"/>
      <c r="E61" s="1929"/>
      <c r="F61" s="1929"/>
      <c r="G61" s="1929"/>
      <c r="H61" s="1929"/>
      <c r="I61" s="1929"/>
      <c r="J61" s="1929"/>
      <c r="K61" s="1929"/>
      <c r="L61" s="1929"/>
      <c r="M61" s="1929"/>
      <c r="N61" s="1929"/>
      <c r="O61" s="192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4" t="s">
        <v>2224</v>
      </c>
      <c r="K63" s="1935"/>
      <c r="L63" s="1935"/>
      <c r="M63" s="1935"/>
      <c r="N63" s="1935"/>
      <c r="O63" s="1935"/>
      <c r="P63" s="1935"/>
      <c r="Q63" s="1935"/>
      <c r="R63" s="1935"/>
    </row>
    <row r="64" spans="1:29" ht="15" customHeight="1" thickBot="1">
      <c r="B64" s="1930" t="s">
        <v>1614</v>
      </c>
      <c r="C64" s="1930"/>
      <c r="D64" s="376"/>
      <c r="F64" s="376"/>
      <c r="G64" s="523" t="s">
        <v>1852</v>
      </c>
      <c r="H64" s="376"/>
      <c r="I64" s="758"/>
      <c r="J64" s="1936"/>
      <c r="K64" s="1937"/>
      <c r="L64" s="1937"/>
      <c r="M64" s="1937"/>
      <c r="N64" s="1937"/>
      <c r="O64" s="1937"/>
      <c r="P64" s="1937"/>
      <c r="Q64" s="1937"/>
      <c r="R64" s="1937"/>
      <c r="U64" s="950">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36"/>
      <c r="K65" s="1937"/>
      <c r="L65" s="1937"/>
      <c r="M65" s="1937"/>
      <c r="N65" s="1937"/>
      <c r="O65" s="1937"/>
      <c r="P65" s="1937"/>
      <c r="Q65" s="1937"/>
      <c r="R65" s="1937"/>
      <c r="U65" s="950">
        <f>IF(J67="Non-rural project, Census Tract is Highest Resource (20 percentage points)",AC56,0)</f>
        <v>0</v>
      </c>
    </row>
    <row r="66" spans="1:22" ht="15" customHeight="1" thickBot="1">
      <c r="B66" s="528" t="s">
        <v>1683</v>
      </c>
      <c r="C66" s="638">
        <f>Application!AG430-Application!AG431</f>
        <v>72</v>
      </c>
      <c r="D66" s="788"/>
      <c r="E66" s="528" t="s">
        <v>1855</v>
      </c>
      <c r="F66" s="788"/>
      <c r="G66" s="655"/>
      <c r="H66" s="529"/>
      <c r="I66" s="759"/>
      <c r="J66" s="1936"/>
      <c r="K66" s="1937"/>
      <c r="L66" s="1937"/>
      <c r="M66" s="1937"/>
      <c r="N66" s="1937"/>
      <c r="O66" s="1937"/>
      <c r="P66" s="1937"/>
      <c r="Q66" s="1937"/>
      <c r="R66" s="1937"/>
      <c r="U66" s="950">
        <f>IF(J67="Non-rural project, Census Tract is High Resource (10 percentage points)",AC57,0)</f>
        <v>0</v>
      </c>
    </row>
    <row r="67" spans="1:22" ht="15" customHeight="1" thickBot="1">
      <c r="B67" s="528" t="s">
        <v>1603</v>
      </c>
      <c r="C67" s="639">
        <f>MIN(IF(AND(C65="Yes",G67&gt;=50),(0.75+(G67/200)),1),1.5)</f>
        <v>1.1099999999999999</v>
      </c>
      <c r="D67" s="529"/>
      <c r="E67" s="528" t="s">
        <v>1684</v>
      </c>
      <c r="G67" s="638">
        <f>C66+G66</f>
        <v>72</v>
      </c>
      <c r="H67" s="529"/>
      <c r="I67" s="759"/>
      <c r="J67" s="1932" t="s">
        <v>1798</v>
      </c>
      <c r="K67" s="1933"/>
      <c r="L67" s="1933"/>
      <c r="M67" s="1933"/>
      <c r="N67" s="1933"/>
      <c r="O67" s="1933"/>
      <c r="P67" s="1933"/>
      <c r="Q67" s="1933"/>
      <c r="R67" s="1933"/>
      <c r="U67" s="950">
        <f>IF(J67="Rural project, Census Tract is Highest Resource (10 percentage points)",AC58,0)</f>
        <v>0.1</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41">
        <f>SUM(U62:U68)</f>
        <v>0.1</v>
      </c>
    </row>
    <row r="70" spans="1:22" ht="15" customHeight="1" thickBot="1">
      <c r="B70" s="508" t="s">
        <v>1611</v>
      </c>
      <c r="C70" s="508"/>
      <c r="D70" s="508"/>
      <c r="E70" s="508"/>
      <c r="F70" s="508"/>
      <c r="G70" s="508"/>
      <c r="U70" s="1942"/>
      <c r="V70" s="373" t="s">
        <v>1800</v>
      </c>
    </row>
    <row r="71" spans="1:22" ht="15" customHeight="1">
      <c r="B71" s="1931" t="s">
        <v>1615</v>
      </c>
      <c r="C71" s="1931"/>
      <c r="D71" s="1931"/>
      <c r="E71" s="508"/>
      <c r="F71" s="508"/>
      <c r="G71" s="518">
        <f>G53*(1-J58)</f>
        <v>15989576.341191437</v>
      </c>
      <c r="J71" s="530"/>
      <c r="K71" s="687" t="s">
        <v>1617</v>
      </c>
      <c r="L71" s="687"/>
      <c r="M71" s="687"/>
      <c r="N71" s="687"/>
      <c r="O71" s="687"/>
      <c r="Q71" s="1915">
        <f>'Basis &amp; Credits'!T23+'Basis &amp; Credits'!Y23+'Basis &amp; Credits'!AD23+'Basis &amp; Credits'!AI23</f>
        <v>27788848.879999995</v>
      </c>
      <c r="R71" s="1915"/>
    </row>
    <row r="72" spans="1:22" ht="15" customHeight="1">
      <c r="B72" s="1917" t="s">
        <v>1616</v>
      </c>
      <c r="C72" s="1917"/>
      <c r="D72" s="1917"/>
      <c r="E72" s="508"/>
      <c r="F72" s="508"/>
      <c r="G72" s="518">
        <f>G71*C67</f>
        <v>17748429.738722492</v>
      </c>
      <c r="J72" s="530"/>
      <c r="K72" s="650"/>
      <c r="L72" s="650"/>
      <c r="M72" s="650"/>
      <c r="N72" s="650"/>
      <c r="O72" s="650"/>
      <c r="Q72" s="1918"/>
      <c r="R72" s="191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9">
        <f>$G$72</f>
        <v>17748429.738722492</v>
      </c>
      <c r="C75" s="1920"/>
      <c r="D75" s="1920"/>
      <c r="E75" s="1920"/>
      <c r="F75" s="1920"/>
      <c r="G75" s="1920"/>
      <c r="H75" s="531"/>
      <c r="I75" s="1921" t="s">
        <v>139</v>
      </c>
      <c r="J75" s="1922" t="s">
        <v>992</v>
      </c>
      <c r="K75" s="1921">
        <v>1</v>
      </c>
      <c r="M75" s="395"/>
      <c r="N75" s="510"/>
      <c r="O75" s="657">
        <f>$Q$71</f>
        <v>27788848.879999995</v>
      </c>
      <c r="P75" s="1922" t="s">
        <v>1940</v>
      </c>
      <c r="Q75" s="1923" t="s">
        <v>138</v>
      </c>
      <c r="R75" s="1926">
        <f>((B75/B76)+((1-(O75/O76))/2))+U69</f>
        <v>0.68903032096072425</v>
      </c>
    </row>
    <row r="76" spans="1:22" ht="15" customHeight="1" thickBot="1">
      <c r="B76" s="1924">
        <f>'Sources and Uses Budget'!$C$104+$Q$46-($E$50+$E$51)*(1-$J$58)</f>
        <v>43288682.519999996</v>
      </c>
      <c r="C76" s="1925"/>
      <c r="D76" s="1925"/>
      <c r="E76" s="1925"/>
      <c r="F76" s="1925"/>
      <c r="G76" s="1924"/>
      <c r="I76" s="1921"/>
      <c r="J76" s="1922"/>
      <c r="K76" s="1921"/>
      <c r="M76" s="648"/>
      <c r="O76" s="656">
        <f>B76</f>
        <v>43288682.519999996</v>
      </c>
      <c r="P76" s="1922"/>
      <c r="Q76" s="1923"/>
      <c r="R76" s="192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3"/>
      <c r="R84" s="1913"/>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3"/>
      <c r="R89" s="1913"/>
    </row>
    <row r="90" spans="2:18" ht="15" customHeight="1">
      <c r="B90" s="497" t="s">
        <v>2436</v>
      </c>
      <c r="C90" s="498">
        <v>5</v>
      </c>
      <c r="D90" s="499">
        <f>680-Application!Q811</f>
        <v>553</v>
      </c>
      <c r="E90" s="499">
        <f>'Subsidy Contract Calculation'!E4</f>
        <v>1073</v>
      </c>
      <c r="F90" s="540"/>
      <c r="G90" s="384">
        <f>MAX(($E90-$D90)*$C90*12,0)</f>
        <v>31200</v>
      </c>
      <c r="I90" s="519"/>
      <c r="K90" s="756" t="s">
        <v>1626</v>
      </c>
      <c r="L90" s="684"/>
      <c r="M90" s="684"/>
      <c r="N90" s="684"/>
      <c r="O90" s="684"/>
      <c r="P90" s="684"/>
      <c r="Q90" s="1916"/>
      <c r="R90" s="1916"/>
    </row>
    <row r="91" spans="2:18" ht="15" customHeight="1">
      <c r="B91" s="497" t="s">
        <v>2437</v>
      </c>
      <c r="C91" s="498">
        <v>5</v>
      </c>
      <c r="D91" s="499">
        <f>817-Application!U811</f>
        <v>652</v>
      </c>
      <c r="E91" s="499">
        <f>'Subsidy Contract Calculation'!E8</f>
        <v>1405</v>
      </c>
      <c r="F91" s="540"/>
      <c r="G91" s="384">
        <f t="shared" ref="G91:G97" si="0">MAX(($E91-$D91)*$C91*12,0)</f>
        <v>45180</v>
      </c>
      <c r="I91" s="519"/>
      <c r="K91" s="756" t="s">
        <v>1629</v>
      </c>
      <c r="L91" s="684"/>
      <c r="M91" s="684"/>
      <c r="N91" s="684"/>
      <c r="O91" s="684"/>
      <c r="P91" s="684"/>
      <c r="Q91" s="1914">
        <f>IFERROR(Q89/Q90,0)</f>
        <v>0</v>
      </c>
      <c r="R91" s="1914"/>
    </row>
    <row r="92" spans="2:18" ht="15" customHeight="1">
      <c r="B92" s="497" t="s">
        <v>2437</v>
      </c>
      <c r="C92" s="498">
        <v>6</v>
      </c>
      <c r="D92" s="499">
        <f>817-Application!U811</f>
        <v>652</v>
      </c>
      <c r="E92" s="499">
        <f>'Subsidy Contract Calculation'!E9</f>
        <v>1405</v>
      </c>
      <c r="F92" s="540"/>
      <c r="G92" s="384">
        <f t="shared" si="0"/>
        <v>54216</v>
      </c>
      <c r="I92" s="519"/>
    </row>
    <row r="93" spans="2:18" ht="15" customHeight="1">
      <c r="B93" s="497" t="s">
        <v>2438</v>
      </c>
      <c r="C93" s="498">
        <v>5</v>
      </c>
      <c r="D93" s="499">
        <f>943-Application!Y811</f>
        <v>752</v>
      </c>
      <c r="E93" s="499">
        <f>'Subsidy Contract Calculation'!E13</f>
        <v>2022</v>
      </c>
      <c r="F93" s="540"/>
      <c r="G93" s="384">
        <f t="shared" si="0"/>
        <v>76200</v>
      </c>
      <c r="I93" s="519"/>
      <c r="K93" s="376" t="s">
        <v>1630</v>
      </c>
      <c r="L93" s="528"/>
      <c r="M93" s="528"/>
      <c r="N93" s="528"/>
      <c r="O93" s="528"/>
      <c r="P93" s="528"/>
      <c r="Q93" s="1915">
        <f>MAX(Q84,Q91)</f>
        <v>0</v>
      </c>
      <c r="R93" s="1915"/>
    </row>
    <row r="94" spans="2:18" ht="15" customHeight="1">
      <c r="B94" s="497" t="s">
        <v>2438</v>
      </c>
      <c r="C94" s="498">
        <v>4</v>
      </c>
      <c r="D94" s="499">
        <f>943-Application!Y811</f>
        <v>752</v>
      </c>
      <c r="E94" s="499">
        <f>'Subsidy Contract Calculation'!E14</f>
        <v>2022</v>
      </c>
      <c r="F94" s="540"/>
      <c r="G94" s="384">
        <f t="shared" si="0"/>
        <v>60960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267756</v>
      </c>
      <c r="I98" s="519"/>
    </row>
    <row r="99" spans="2:9" ht="15" customHeight="1">
      <c r="I99" s="519"/>
    </row>
    <row r="100" spans="2:9" ht="15" customHeight="1">
      <c r="B100" s="376" t="s">
        <v>1627</v>
      </c>
      <c r="D100" s="520">
        <f>G98+Q93</f>
        <v>267756</v>
      </c>
      <c r="I100" s="519"/>
    </row>
    <row r="101" spans="2:9" ht="15" customHeight="1">
      <c r="B101" s="376" t="s">
        <v>988</v>
      </c>
      <c r="D101" s="536">
        <v>0.05</v>
      </c>
      <c r="I101" s="519"/>
    </row>
    <row r="102" spans="2:9" ht="15" customHeight="1">
      <c r="B102" s="376" t="s">
        <v>1017</v>
      </c>
      <c r="D102" s="520">
        <f>D100-(D100*D101)</f>
        <v>254368.2</v>
      </c>
    </row>
    <row r="103" spans="2:9" ht="15" customHeight="1">
      <c r="B103" s="376" t="s">
        <v>1619</v>
      </c>
      <c r="D103" s="537"/>
    </row>
    <row r="104" spans="2:9" ht="15" customHeight="1">
      <c r="B104" s="376" t="s">
        <v>1628</v>
      </c>
      <c r="D104" s="520">
        <f>D102/D108</f>
        <v>221189.73913043481</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2491926.3411914376</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4" workbookViewId="0">
      <selection activeCell="G62" sqref="G62"/>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710652</v>
      </c>
      <c r="F4" s="384"/>
      <c r="G4" s="384">
        <f>E4*$C$4</f>
        <v>728418.29999999993</v>
      </c>
      <c r="H4" s="384"/>
      <c r="I4" s="384">
        <f>G4*$C$4</f>
        <v>746628.75749999983</v>
      </c>
      <c r="J4" s="384"/>
      <c r="K4" s="384">
        <f>I4*$C$4</f>
        <v>765294.47643749975</v>
      </c>
      <c r="L4" s="384"/>
      <c r="M4" s="384">
        <f>K4*$C$4</f>
        <v>784426.83834843722</v>
      </c>
      <c r="N4" s="384"/>
      <c r="O4" s="384">
        <f>M4*$C$4</f>
        <v>804037.50930714805</v>
      </c>
      <c r="P4" s="384"/>
      <c r="Q4" s="384">
        <f>O4*$C$4</f>
        <v>824138.44703982666</v>
      </c>
      <c r="R4" s="384"/>
      <c r="S4" s="384">
        <f>Q4*$C$4</f>
        <v>844741.9082158223</v>
      </c>
      <c r="T4" s="384"/>
      <c r="U4" s="384">
        <f>S4*$C$4</f>
        <v>865860.4559212178</v>
      </c>
      <c r="V4" s="384"/>
      <c r="W4" s="384">
        <f>U4*$C$4</f>
        <v>887506.96731924813</v>
      </c>
      <c r="X4" s="384"/>
      <c r="Y4" s="384">
        <f>W4*$C$4</f>
        <v>909694.64150222926</v>
      </c>
      <c r="Z4" s="384"/>
      <c r="AA4" s="384">
        <f>Y4*$C$4</f>
        <v>932437.00753978489</v>
      </c>
      <c r="AB4" s="384"/>
      <c r="AC4" s="384">
        <f>AA4*$C$4</f>
        <v>955747.93272827938</v>
      </c>
      <c r="AD4" s="384"/>
      <c r="AE4" s="384">
        <f>AC4*$C$4</f>
        <v>979641.63104648632</v>
      </c>
      <c r="AF4" s="384"/>
      <c r="AG4" s="384">
        <f>AE4*$C$4</f>
        <v>1004132.6718226484</v>
      </c>
      <c r="AH4" s="384"/>
    </row>
    <row r="5" spans="1:34" ht="13.8">
      <c r="A5" s="376"/>
      <c r="B5" s="376" t="s">
        <v>988</v>
      </c>
      <c r="C5" s="408">
        <f>IF(Application!$D$214="Special Needs",0.1,0.05)</f>
        <v>0.05</v>
      </c>
      <c r="D5" s="376"/>
      <c r="E5" s="386">
        <f>-E4*$C$5</f>
        <v>-35532.6</v>
      </c>
      <c r="F5" s="386"/>
      <c r="G5" s="386">
        <f>-G4*$C$5</f>
        <v>-36420.915000000001</v>
      </c>
      <c r="H5" s="386"/>
      <c r="I5" s="386">
        <f>-I4*$C$5</f>
        <v>-37331.437874999996</v>
      </c>
      <c r="J5" s="386"/>
      <c r="K5" s="386">
        <f>-K4*$C$5</f>
        <v>-38264.723821874992</v>
      </c>
      <c r="L5" s="386"/>
      <c r="M5" s="386">
        <f>-M4*$C$5</f>
        <v>-39221.341917421865</v>
      </c>
      <c r="N5" s="386"/>
      <c r="O5" s="386">
        <f>-O4*$C$5</f>
        <v>-40201.875465357407</v>
      </c>
      <c r="P5" s="386"/>
      <c r="Q5" s="386">
        <f>-Q4*$C$5</f>
        <v>-41206.922351991336</v>
      </c>
      <c r="R5" s="386"/>
      <c r="S5" s="386">
        <f>-S4*$C$5</f>
        <v>-42237.095410791117</v>
      </c>
      <c r="T5" s="386"/>
      <c r="U5" s="386">
        <f>-U4*$C$5</f>
        <v>-43293.02279606089</v>
      </c>
      <c r="V5" s="386"/>
      <c r="W5" s="386">
        <f>-W4*$C$5</f>
        <v>-44375.348365962411</v>
      </c>
      <c r="X5" s="386"/>
      <c r="Y5" s="386">
        <f>-Y4*$C$5</f>
        <v>-45484.732075111468</v>
      </c>
      <c r="Z5" s="386"/>
      <c r="AA5" s="386">
        <f>-AA4*$C$5</f>
        <v>-46621.850376989249</v>
      </c>
      <c r="AB5" s="386"/>
      <c r="AC5" s="386">
        <f>-AC4*$C$5</f>
        <v>-47787.396636413971</v>
      </c>
      <c r="AD5" s="386"/>
      <c r="AE5" s="386">
        <f>-AE4*$C$5</f>
        <v>-48982.081552324322</v>
      </c>
      <c r="AF5" s="386"/>
      <c r="AG5" s="386">
        <f>-AG4*$C$5</f>
        <v>-50206.63359113242</v>
      </c>
      <c r="AH5" s="376"/>
    </row>
    <row r="6" spans="1:34" ht="13.8">
      <c r="A6" s="376" t="s">
        <v>1074</v>
      </c>
      <c r="B6" s="376"/>
      <c r="C6" s="407">
        <v>1.02</v>
      </c>
      <c r="D6" s="376"/>
      <c r="E6" s="387">
        <f>Application!Z788</f>
        <v>278340</v>
      </c>
      <c r="F6" s="387"/>
      <c r="G6" s="387">
        <f>E6*$C$6</f>
        <v>283906.8</v>
      </c>
      <c r="H6" s="387"/>
      <c r="I6" s="387">
        <f>G6*$C$6</f>
        <v>289584.93599999999</v>
      </c>
      <c r="J6" s="387"/>
      <c r="K6" s="387">
        <f>I6*$C$6</f>
        <v>295376.63471999997</v>
      </c>
      <c r="L6" s="387"/>
      <c r="M6" s="387">
        <f>K6*$C$6</f>
        <v>301284.16741439997</v>
      </c>
      <c r="N6" s="387"/>
      <c r="O6" s="387">
        <f>M6*$C$6</f>
        <v>307309.85076268797</v>
      </c>
      <c r="P6" s="387"/>
      <c r="Q6" s="387">
        <f>O6*$C$6</f>
        <v>313456.04777794174</v>
      </c>
      <c r="R6" s="387"/>
      <c r="S6" s="387">
        <f>Q6*$C$6</f>
        <v>319725.16873350058</v>
      </c>
      <c r="T6" s="387"/>
      <c r="U6" s="387">
        <f>S6*$C$6</f>
        <v>326119.67210817058</v>
      </c>
      <c r="V6" s="387"/>
      <c r="W6" s="387">
        <f>U6*$C$6</f>
        <v>332642.06555033399</v>
      </c>
      <c r="X6" s="387"/>
      <c r="Y6" s="387">
        <f>W6*$C$6</f>
        <v>339294.90686134069</v>
      </c>
      <c r="Z6" s="387"/>
      <c r="AA6" s="387">
        <f>Y6*$C$6</f>
        <v>346080.8049985675</v>
      </c>
      <c r="AB6" s="387"/>
      <c r="AC6" s="387">
        <f>AA6*$C$6</f>
        <v>353002.42109853885</v>
      </c>
      <c r="AD6" s="387"/>
      <c r="AE6" s="387">
        <f>AC6*$C$6</f>
        <v>360062.46952050965</v>
      </c>
      <c r="AF6" s="387"/>
      <c r="AG6" s="387">
        <f>AE6*$C$6</f>
        <v>367263.71891091985</v>
      </c>
      <c r="AH6" s="376"/>
    </row>
    <row r="7" spans="1:34" ht="13.8">
      <c r="A7" s="376"/>
      <c r="B7" s="376" t="s">
        <v>988</v>
      </c>
      <c r="C7" s="408">
        <f>IF(Application!$D$214="Special Needs",0.1,0.05)</f>
        <v>0.05</v>
      </c>
      <c r="D7" s="376"/>
      <c r="E7" s="386">
        <f>-E6*$C$7</f>
        <v>-13917</v>
      </c>
      <c r="F7" s="386"/>
      <c r="G7" s="386">
        <f>-G6*$C$7</f>
        <v>-14195.34</v>
      </c>
      <c r="H7" s="386"/>
      <c r="I7" s="386">
        <f>-I6*$C$7</f>
        <v>-14479.246800000001</v>
      </c>
      <c r="J7" s="386"/>
      <c r="K7" s="386">
        <f>-K6*$C$7</f>
        <v>-14768.831736</v>
      </c>
      <c r="L7" s="386"/>
      <c r="M7" s="386">
        <f>-M6*$C$7</f>
        <v>-15064.20837072</v>
      </c>
      <c r="N7" s="386"/>
      <c r="O7" s="386">
        <f>-O6*$C$7</f>
        <v>-15365.4925381344</v>
      </c>
      <c r="P7" s="386"/>
      <c r="Q7" s="386">
        <f>-Q6*$C$7</f>
        <v>-15672.802388897087</v>
      </c>
      <c r="R7" s="386"/>
      <c r="S7" s="386">
        <f>-S6*$C$7</f>
        <v>-15986.258436675031</v>
      </c>
      <c r="T7" s="386"/>
      <c r="U7" s="386">
        <f>-U6*$C$7</f>
        <v>-16305.98360540853</v>
      </c>
      <c r="V7" s="386"/>
      <c r="W7" s="386">
        <f>-W6*$C$7</f>
        <v>-16632.1032775167</v>
      </c>
      <c r="X7" s="386"/>
      <c r="Y7" s="386">
        <f>-Y6*$C$7</f>
        <v>-16964.745343067036</v>
      </c>
      <c r="Z7" s="386"/>
      <c r="AA7" s="386">
        <f>-AA6*$C$7</f>
        <v>-17304.040249928377</v>
      </c>
      <c r="AB7" s="386"/>
      <c r="AC7" s="386">
        <f>-AC6*$C$7</f>
        <v>-17650.121054926942</v>
      </c>
      <c r="AD7" s="386"/>
      <c r="AE7" s="386">
        <f>-AE6*$C$7</f>
        <v>-18003.123476025485</v>
      </c>
      <c r="AF7" s="386"/>
      <c r="AG7" s="386">
        <f>-AG6*$C$7</f>
        <v>-18363.185945545993</v>
      </c>
      <c r="AH7" s="376"/>
    </row>
    <row r="8" spans="1:34" ht="13.8">
      <c r="A8" s="376" t="s">
        <v>261</v>
      </c>
      <c r="B8" s="376"/>
      <c r="C8" s="407">
        <v>1.0249999999999999</v>
      </c>
      <c r="D8" s="376"/>
      <c r="E8" s="387">
        <f>Application!Z796</f>
        <v>10650</v>
      </c>
      <c r="F8" s="387"/>
      <c r="G8" s="387">
        <f>E8*$C$8</f>
        <v>10916.249999999998</v>
      </c>
      <c r="H8" s="387"/>
      <c r="I8" s="387">
        <f>G8*$C$8</f>
        <v>11189.156249999996</v>
      </c>
      <c r="J8" s="387"/>
      <c r="K8" s="387">
        <f>I8*$C$8</f>
        <v>11468.885156249995</v>
      </c>
      <c r="L8" s="387"/>
      <c r="M8" s="387">
        <f>K8*$C$8</f>
        <v>11755.607285156244</v>
      </c>
      <c r="N8" s="387"/>
      <c r="O8" s="387">
        <f>M8*$C$8</f>
        <v>12049.497467285149</v>
      </c>
      <c r="P8" s="387"/>
      <c r="Q8" s="387">
        <f>O8*$C$8</f>
        <v>12350.734903967277</v>
      </c>
      <c r="R8" s="387"/>
      <c r="S8" s="387">
        <f>Q8*$C$8</f>
        <v>12659.503276566458</v>
      </c>
      <c r="T8" s="387"/>
      <c r="U8" s="387">
        <f>S8*$C$8</f>
        <v>12975.990858480618</v>
      </c>
      <c r="V8" s="387"/>
      <c r="W8" s="387">
        <f>U8*$C$8</f>
        <v>13300.390629942633</v>
      </c>
      <c r="X8" s="387"/>
      <c r="Y8" s="387">
        <f>W8*$C$8</f>
        <v>13632.900395691197</v>
      </c>
      <c r="Z8" s="387"/>
      <c r="AA8" s="387">
        <f>Y8*$C$8</f>
        <v>13973.722905583476</v>
      </c>
      <c r="AB8" s="387"/>
      <c r="AC8" s="387">
        <f>AA8*$C$8</f>
        <v>14323.065978223061</v>
      </c>
      <c r="AD8" s="387"/>
      <c r="AE8" s="387">
        <f>AC8*$C$8</f>
        <v>14681.142627678637</v>
      </c>
      <c r="AF8" s="387"/>
      <c r="AG8" s="387">
        <f>AE8*$C$8</f>
        <v>15048.171193370601</v>
      </c>
      <c r="AH8" s="376"/>
    </row>
    <row r="9" spans="1:34" ht="13.8">
      <c r="A9" s="376"/>
      <c r="B9" s="376" t="s">
        <v>988</v>
      </c>
      <c r="C9" s="408">
        <f>IF(Application!$D$214="Special Needs",0.1,0.05)</f>
        <v>0.05</v>
      </c>
      <c r="D9" s="376"/>
      <c r="E9" s="386">
        <f>-E8*$C$9</f>
        <v>-532.5</v>
      </c>
      <c r="F9" s="386"/>
      <c r="G9" s="386">
        <f>-G8*$C$9</f>
        <v>-545.81249999999989</v>
      </c>
      <c r="H9" s="386"/>
      <c r="I9" s="386">
        <f>-I8*$C$9</f>
        <v>-559.45781249999982</v>
      </c>
      <c r="J9" s="386"/>
      <c r="K9" s="386">
        <f>-K8*$C$9</f>
        <v>-573.44425781249981</v>
      </c>
      <c r="L9" s="386"/>
      <c r="M9" s="386">
        <f>-M8*$C$9</f>
        <v>-587.78036425781227</v>
      </c>
      <c r="N9" s="386"/>
      <c r="O9" s="386">
        <f>-O8*$C$9</f>
        <v>-602.47487336425752</v>
      </c>
      <c r="P9" s="386"/>
      <c r="Q9" s="386">
        <f>-Q8*$C$9</f>
        <v>-617.53674519836386</v>
      </c>
      <c r="R9" s="386"/>
      <c r="S9" s="386">
        <f>-S8*$C$9</f>
        <v>-632.97516382832293</v>
      </c>
      <c r="T9" s="386"/>
      <c r="U9" s="386">
        <f>-U8*$C$9</f>
        <v>-648.7995429240309</v>
      </c>
      <c r="V9" s="386"/>
      <c r="W9" s="386">
        <f>-W8*$C$9</f>
        <v>-665.01953149713165</v>
      </c>
      <c r="X9" s="386"/>
      <c r="Y9" s="386">
        <f>-Y8*$C$9</f>
        <v>-681.64501978455985</v>
      </c>
      <c r="Z9" s="386"/>
      <c r="AA9" s="386">
        <f>-AA8*$C$9</f>
        <v>-698.68614527917384</v>
      </c>
      <c r="AB9" s="386"/>
      <c r="AC9" s="386">
        <f>-AC8*$C$9</f>
        <v>-716.15329891115312</v>
      </c>
      <c r="AD9" s="386"/>
      <c r="AE9" s="386">
        <f>-AE8*$C$9</f>
        <v>-734.05713138393185</v>
      </c>
      <c r="AF9" s="386"/>
      <c r="AG9" s="386">
        <f>-AG8*$C$9</f>
        <v>-752.40855966853007</v>
      </c>
      <c r="AH9" s="376"/>
    </row>
    <row r="10" spans="1:34" ht="13.8">
      <c r="A10" s="934" t="s">
        <v>2311</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3.8">
      <c r="A11" s="388" t="s">
        <v>1075</v>
      </c>
      <c r="B11" s="388"/>
      <c r="C11" s="381"/>
      <c r="D11" s="388"/>
      <c r="E11" s="388">
        <f>SUM(E4:E10)</f>
        <v>949659.9</v>
      </c>
      <c r="F11" s="388"/>
      <c r="G11" s="388">
        <f>SUM(G4:G10)</f>
        <v>972079.28249999986</v>
      </c>
      <c r="H11" s="388"/>
      <c r="I11" s="388">
        <f>SUM(I4:I10)</f>
        <v>995032.70726249996</v>
      </c>
      <c r="J11" s="388"/>
      <c r="K11" s="388">
        <f>SUM(K4:K10)</f>
        <v>1018532.9964980623</v>
      </c>
      <c r="L11" s="388"/>
      <c r="M11" s="388">
        <f>SUM(M4:M10)</f>
        <v>1042593.2823955936</v>
      </c>
      <c r="N11" s="388"/>
      <c r="O11" s="388">
        <f>SUM(O4:O10)</f>
        <v>1067227.0146602653</v>
      </c>
      <c r="P11" s="388"/>
      <c r="Q11" s="388">
        <f>SUM(Q4:Q10)</f>
        <v>1092447.9682356489</v>
      </c>
      <c r="R11" s="388"/>
      <c r="S11" s="388">
        <f>SUM(S4:S10)</f>
        <v>1118270.251214595</v>
      </c>
      <c r="T11" s="388"/>
      <c r="U11" s="388">
        <f>SUM(U4:U10)</f>
        <v>1144708.3129434756</v>
      </c>
      <c r="V11" s="388"/>
      <c r="W11" s="388">
        <f>SUM(W4:W10)</f>
        <v>1171776.9523245485</v>
      </c>
      <c r="X11" s="388"/>
      <c r="Y11" s="388">
        <f>SUM(Y4:Y10)</f>
        <v>1199491.326321298</v>
      </c>
      <c r="Z11" s="388"/>
      <c r="AA11" s="388">
        <f>SUM(AA4:AA10)</f>
        <v>1227866.9586717391</v>
      </c>
      <c r="AB11" s="388"/>
      <c r="AC11" s="388">
        <f>SUM(AC4:AC10)</f>
        <v>1256919.7488147891</v>
      </c>
      <c r="AD11" s="388"/>
      <c r="AE11" s="388">
        <f>SUM(AE4:AE10)</f>
        <v>1286665.9810349408</v>
      </c>
      <c r="AF11" s="388"/>
      <c r="AG11" s="388">
        <f>SUM(AG4:AG10)</f>
        <v>1317122.3338305918</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33123</v>
      </c>
      <c r="F15" s="384"/>
      <c r="G15" s="384">
        <f t="shared" ref="G15:G21" si="0">E15*$C$14</f>
        <v>34282.305</v>
      </c>
      <c r="H15" s="384"/>
      <c r="I15" s="384">
        <f t="shared" ref="I15:I21" si="1">G15*$C$14</f>
        <v>35482.185675000001</v>
      </c>
      <c r="J15" s="384"/>
      <c r="K15" s="384">
        <f t="shared" ref="K15:K21" si="2">I15*$C$14</f>
        <v>36724.062173624996</v>
      </c>
      <c r="L15" s="384"/>
      <c r="M15" s="384">
        <f t="shared" ref="M15:M21" si="3">K15*$C$14</f>
        <v>38009.404349701865</v>
      </c>
      <c r="N15" s="384"/>
      <c r="O15" s="384">
        <f t="shared" ref="O15:O21" si="4">M15*$C$14</f>
        <v>39339.733501941424</v>
      </c>
      <c r="P15" s="384"/>
      <c r="Q15" s="384">
        <f t="shared" ref="Q15:Q21" si="5">O15*$C$14</f>
        <v>40716.624174509372</v>
      </c>
      <c r="R15" s="384"/>
      <c r="S15" s="384">
        <f t="shared" ref="S15:S21" si="6">Q15*$C$14</f>
        <v>42141.706020617195</v>
      </c>
      <c r="T15" s="384"/>
      <c r="U15" s="384">
        <f t="shared" ref="U15:U21" si="7">S15*$C$14</f>
        <v>43616.665731338791</v>
      </c>
      <c r="V15" s="384"/>
      <c r="W15" s="384">
        <f t="shared" ref="W15:W21" si="8">U15*$C$14</f>
        <v>45143.249031935644</v>
      </c>
      <c r="X15" s="384"/>
      <c r="Y15" s="384">
        <f t="shared" ref="Y15:Y21" si="9">W15*$C$14</f>
        <v>46723.262748053385</v>
      </c>
      <c r="Z15" s="384"/>
      <c r="AA15" s="384">
        <f t="shared" ref="AA15:AA21" si="10">Y15*$C$14</f>
        <v>48358.576944235247</v>
      </c>
      <c r="AB15" s="384"/>
      <c r="AC15" s="384">
        <f t="shared" ref="AC15:AC21" si="11">AA15*$C$14</f>
        <v>50051.127137283474</v>
      </c>
      <c r="AD15" s="384"/>
      <c r="AE15" s="384">
        <f t="shared" ref="AE15:AE21" si="12">AC15*$C$14</f>
        <v>51802.916587088395</v>
      </c>
      <c r="AF15" s="384"/>
      <c r="AG15" s="384">
        <f t="shared" ref="AG15:AG21" si="13">AE15*$C$14</f>
        <v>53616.018667636483</v>
      </c>
      <c r="AH15" s="384"/>
    </row>
    <row r="16" spans="1:34" ht="13.8">
      <c r="A16" s="376" t="s">
        <v>468</v>
      </c>
      <c r="B16" s="376"/>
      <c r="C16" s="398"/>
      <c r="D16" s="376"/>
      <c r="E16" s="387">
        <f>Application!W828</f>
        <v>51120</v>
      </c>
      <c r="F16" s="387"/>
      <c r="G16" s="387">
        <f t="shared" si="0"/>
        <v>52909.2</v>
      </c>
      <c r="H16" s="387"/>
      <c r="I16" s="387">
        <f t="shared" si="1"/>
        <v>54761.02199999999</v>
      </c>
      <c r="J16" s="387"/>
      <c r="K16" s="387">
        <f t="shared" si="2"/>
        <v>56677.657769999983</v>
      </c>
      <c r="L16" s="387"/>
      <c r="M16" s="387">
        <f t="shared" si="3"/>
        <v>58661.375791949977</v>
      </c>
      <c r="N16" s="387"/>
      <c r="O16" s="387">
        <f t="shared" si="4"/>
        <v>60714.523944668224</v>
      </c>
      <c r="P16" s="387"/>
      <c r="Q16" s="387">
        <f t="shared" si="5"/>
        <v>62839.532282731605</v>
      </c>
      <c r="R16" s="387"/>
      <c r="S16" s="387">
        <f t="shared" si="6"/>
        <v>65038.915912627206</v>
      </c>
      <c r="T16" s="387"/>
      <c r="U16" s="387">
        <f t="shared" si="7"/>
        <v>67315.277969569157</v>
      </c>
      <c r="V16" s="387"/>
      <c r="W16" s="387">
        <f t="shared" si="8"/>
        <v>69671.312698504073</v>
      </c>
      <c r="X16" s="387"/>
      <c r="Y16" s="387">
        <f t="shared" si="9"/>
        <v>72109.808642951713</v>
      </c>
      <c r="Z16" s="387"/>
      <c r="AA16" s="387">
        <f t="shared" si="10"/>
        <v>74633.651945455014</v>
      </c>
      <c r="AB16" s="387"/>
      <c r="AC16" s="387">
        <f t="shared" si="11"/>
        <v>77245.829763545931</v>
      </c>
      <c r="AD16" s="387"/>
      <c r="AE16" s="387">
        <f t="shared" si="12"/>
        <v>79949.433805270033</v>
      </c>
      <c r="AF16" s="387"/>
      <c r="AG16" s="387">
        <f t="shared" si="13"/>
        <v>82747.663988454471</v>
      </c>
      <c r="AH16" s="376"/>
    </row>
    <row r="17" spans="1:34" ht="13.8">
      <c r="A17" s="376" t="s">
        <v>734</v>
      </c>
      <c r="B17" s="376"/>
      <c r="C17" s="398"/>
      <c r="D17" s="376"/>
      <c r="E17" s="387">
        <f>Application!W834</f>
        <v>79540</v>
      </c>
      <c r="F17" s="387"/>
      <c r="G17" s="387">
        <f t="shared" si="0"/>
        <v>82323.899999999994</v>
      </c>
      <c r="H17" s="387"/>
      <c r="I17" s="387">
        <f t="shared" si="1"/>
        <v>85205.236499999985</v>
      </c>
      <c r="J17" s="387"/>
      <c r="K17" s="387">
        <f t="shared" si="2"/>
        <v>88187.419777499977</v>
      </c>
      <c r="L17" s="387"/>
      <c r="M17" s="387">
        <f t="shared" si="3"/>
        <v>91273.979469712474</v>
      </c>
      <c r="N17" s="387"/>
      <c r="O17" s="387">
        <f t="shared" si="4"/>
        <v>94468.568751152401</v>
      </c>
      <c r="P17" s="387"/>
      <c r="Q17" s="387">
        <f t="shared" si="5"/>
        <v>97774.968657442732</v>
      </c>
      <c r="R17" s="387"/>
      <c r="S17" s="387">
        <f t="shared" si="6"/>
        <v>101197.09256045322</v>
      </c>
      <c r="T17" s="387"/>
      <c r="U17" s="387">
        <f t="shared" si="7"/>
        <v>104738.99080006908</v>
      </c>
      <c r="V17" s="387"/>
      <c r="W17" s="387">
        <f t="shared" si="8"/>
        <v>108404.85547807149</v>
      </c>
      <c r="X17" s="387"/>
      <c r="Y17" s="387">
        <f t="shared" si="9"/>
        <v>112199.02541980399</v>
      </c>
      <c r="Z17" s="387"/>
      <c r="AA17" s="387">
        <f t="shared" si="10"/>
        <v>116125.99130949713</v>
      </c>
      <c r="AB17" s="387"/>
      <c r="AC17" s="387">
        <f t="shared" si="11"/>
        <v>120190.40100532952</v>
      </c>
      <c r="AD17" s="387"/>
      <c r="AE17" s="387">
        <f t="shared" si="12"/>
        <v>124397.06504051604</v>
      </c>
      <c r="AF17" s="387"/>
      <c r="AG17" s="387">
        <f t="shared" si="13"/>
        <v>128750.96231693409</v>
      </c>
      <c r="AH17" s="376"/>
    </row>
    <row r="18" spans="1:34" ht="13.8">
      <c r="A18" s="376" t="s">
        <v>1079</v>
      </c>
      <c r="B18" s="376"/>
      <c r="C18" s="398"/>
      <c r="D18" s="376"/>
      <c r="E18" s="387">
        <f>Application!W841</f>
        <v>110641</v>
      </c>
      <c r="F18" s="387"/>
      <c r="G18" s="387">
        <f t="shared" si="0"/>
        <v>114513.435</v>
      </c>
      <c r="H18" s="387"/>
      <c r="I18" s="387">
        <f t="shared" si="1"/>
        <v>118521.40522499999</v>
      </c>
      <c r="J18" s="387"/>
      <c r="K18" s="387">
        <f t="shared" si="2"/>
        <v>122669.65440787499</v>
      </c>
      <c r="L18" s="387"/>
      <c r="M18" s="387">
        <f t="shared" si="3"/>
        <v>126963.09231215061</v>
      </c>
      <c r="N18" s="387"/>
      <c r="O18" s="387">
        <f t="shared" si="4"/>
        <v>131406.80054307586</v>
      </c>
      <c r="P18" s="387"/>
      <c r="Q18" s="387">
        <f t="shared" si="5"/>
        <v>136006.0385620835</v>
      </c>
      <c r="R18" s="387"/>
      <c r="S18" s="387">
        <f t="shared" si="6"/>
        <v>140766.2499117564</v>
      </c>
      <c r="T18" s="387"/>
      <c r="U18" s="387">
        <f t="shared" si="7"/>
        <v>145693.06865866785</v>
      </c>
      <c r="V18" s="387"/>
      <c r="W18" s="387">
        <f t="shared" si="8"/>
        <v>150792.32606172122</v>
      </c>
      <c r="X18" s="387"/>
      <c r="Y18" s="387">
        <f t="shared" si="9"/>
        <v>156070.05747388146</v>
      </c>
      <c r="Z18" s="387"/>
      <c r="AA18" s="387">
        <f t="shared" si="10"/>
        <v>161532.50948546731</v>
      </c>
      <c r="AB18" s="387"/>
      <c r="AC18" s="387">
        <f t="shared" si="11"/>
        <v>167186.14731745864</v>
      </c>
      <c r="AD18" s="387"/>
      <c r="AE18" s="387">
        <f t="shared" si="12"/>
        <v>173037.66247356968</v>
      </c>
      <c r="AF18" s="387"/>
      <c r="AG18" s="387">
        <f t="shared" si="13"/>
        <v>179093.98066014462</v>
      </c>
    </row>
    <row r="19" spans="1:34" ht="13.8">
      <c r="A19" s="376" t="s">
        <v>931</v>
      </c>
      <c r="B19" s="376"/>
      <c r="C19" s="398"/>
      <c r="D19" s="376"/>
      <c r="E19" s="387">
        <f>Application!W842</f>
        <v>90518</v>
      </c>
      <c r="F19" s="387"/>
      <c r="G19" s="387">
        <f t="shared" si="0"/>
        <v>93686.12999999999</v>
      </c>
      <c r="H19" s="387"/>
      <c r="I19" s="387">
        <f t="shared" si="1"/>
        <v>96965.144549999983</v>
      </c>
      <c r="J19" s="387"/>
      <c r="K19" s="387">
        <f t="shared" si="2"/>
        <v>100358.92460924998</v>
      </c>
      <c r="L19" s="387"/>
      <c r="M19" s="387">
        <f t="shared" si="3"/>
        <v>103871.48697057372</v>
      </c>
      <c r="N19" s="387"/>
      <c r="O19" s="387">
        <f t="shared" si="4"/>
        <v>107506.9890145438</v>
      </c>
      <c r="P19" s="387"/>
      <c r="Q19" s="387">
        <f t="shared" si="5"/>
        <v>111269.73363005283</v>
      </c>
      <c r="R19" s="387"/>
      <c r="S19" s="387">
        <f t="shared" si="6"/>
        <v>115164.17430710467</v>
      </c>
      <c r="T19" s="387"/>
      <c r="U19" s="387">
        <f t="shared" si="7"/>
        <v>119194.92040785332</v>
      </c>
      <c r="V19" s="387"/>
      <c r="W19" s="387">
        <f t="shared" si="8"/>
        <v>123366.74262212818</v>
      </c>
      <c r="X19" s="387"/>
      <c r="Y19" s="387">
        <f t="shared" si="9"/>
        <v>127684.57861390266</v>
      </c>
      <c r="Z19" s="387"/>
      <c r="AA19" s="387">
        <f t="shared" si="10"/>
        <v>132153.53886538924</v>
      </c>
      <c r="AB19" s="387"/>
      <c r="AC19" s="387">
        <f t="shared" si="11"/>
        <v>136778.91272567786</v>
      </c>
      <c r="AD19" s="387"/>
      <c r="AE19" s="387">
        <f t="shared" si="12"/>
        <v>141566.17467107659</v>
      </c>
      <c r="AF19" s="387"/>
      <c r="AG19" s="387">
        <f t="shared" si="13"/>
        <v>146520.99078456426</v>
      </c>
    </row>
    <row r="20" spans="1:34" ht="13.8">
      <c r="A20" s="376" t="s">
        <v>55</v>
      </c>
      <c r="B20" s="376"/>
      <c r="C20" s="398"/>
      <c r="D20" s="376"/>
      <c r="E20" s="387">
        <f>Application!W851</f>
        <v>129227</v>
      </c>
      <c r="F20" s="387"/>
      <c r="G20" s="387">
        <f t="shared" si="0"/>
        <v>133749.94499999998</v>
      </c>
      <c r="H20" s="387"/>
      <c r="I20" s="387">
        <f t="shared" si="1"/>
        <v>138431.19307499996</v>
      </c>
      <c r="J20" s="387"/>
      <c r="K20" s="387">
        <f t="shared" si="2"/>
        <v>143276.28483262495</v>
      </c>
      <c r="L20" s="387"/>
      <c r="M20" s="387">
        <f t="shared" si="3"/>
        <v>148290.95480176681</v>
      </c>
      <c r="N20" s="387"/>
      <c r="O20" s="387">
        <f t="shared" si="4"/>
        <v>153481.13821982863</v>
      </c>
      <c r="P20" s="387"/>
      <c r="Q20" s="387">
        <f t="shared" si="5"/>
        <v>158852.97805752262</v>
      </c>
      <c r="R20" s="387"/>
      <c r="S20" s="387">
        <f t="shared" si="6"/>
        <v>164412.8322895359</v>
      </c>
      <c r="T20" s="387"/>
      <c r="U20" s="387">
        <f t="shared" si="7"/>
        <v>170167.28141966966</v>
      </c>
      <c r="V20" s="387"/>
      <c r="W20" s="387">
        <f t="shared" si="8"/>
        <v>176123.13626935807</v>
      </c>
      <c r="X20" s="387"/>
      <c r="Y20" s="387">
        <f t="shared" si="9"/>
        <v>182287.44603878559</v>
      </c>
      <c r="Z20" s="387"/>
      <c r="AA20" s="387">
        <f t="shared" si="10"/>
        <v>188667.50665014307</v>
      </c>
      <c r="AB20" s="387"/>
      <c r="AC20" s="387">
        <f t="shared" si="11"/>
        <v>195270.86938289806</v>
      </c>
      <c r="AD20" s="387"/>
      <c r="AE20" s="387">
        <f t="shared" si="12"/>
        <v>202105.34981129947</v>
      </c>
      <c r="AF20" s="387"/>
      <c r="AG20" s="387">
        <f t="shared" si="13"/>
        <v>209179.03705469493</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494169</v>
      </c>
      <c r="F22" s="388"/>
      <c r="G22" s="388">
        <f>SUM(G15:G21)</f>
        <v>511464.91499999992</v>
      </c>
      <c r="H22" s="388"/>
      <c r="I22" s="388">
        <f>SUM(I15:I21)</f>
        <v>529366.18702499988</v>
      </c>
      <c r="J22" s="388"/>
      <c r="K22" s="388">
        <f>SUM(K15:K21)</f>
        <v>547894.00357087492</v>
      </c>
      <c r="L22" s="388"/>
      <c r="M22" s="388">
        <f>SUM(M15:M21)</f>
        <v>567070.29369585542</v>
      </c>
      <c r="N22" s="388"/>
      <c r="O22" s="388">
        <f>SUM(O15:O21)</f>
        <v>586917.75397521036</v>
      </c>
      <c r="P22" s="388"/>
      <c r="Q22" s="388">
        <f>SUM(Q15:Q21)</f>
        <v>607459.8753643427</v>
      </c>
      <c r="R22" s="388"/>
      <c r="S22" s="388">
        <f>SUM(S15:S21)</f>
        <v>628720.97100209456</v>
      </c>
      <c r="T22" s="388"/>
      <c r="U22" s="388">
        <f>SUM(U15:U21)</f>
        <v>650726.20498716785</v>
      </c>
      <c r="V22" s="388"/>
      <c r="W22" s="388">
        <f>SUM(W15:W21)</f>
        <v>673501.62216171867</v>
      </c>
      <c r="X22" s="388"/>
      <c r="Y22" s="388">
        <f>SUM(Y15:Y21)</f>
        <v>697074.17893737881</v>
      </c>
      <c r="Z22" s="388"/>
      <c r="AA22" s="388">
        <f>SUM(AA15:AA21)</f>
        <v>721471.775200187</v>
      </c>
      <c r="AB22" s="388"/>
      <c r="AC22" s="388">
        <f>SUM(AC15:AC21)</f>
        <v>746723.28733219346</v>
      </c>
      <c r="AD22" s="388"/>
      <c r="AE22" s="388">
        <f>SUM(AE15:AE21)</f>
        <v>772858.60238882015</v>
      </c>
      <c r="AF22" s="388"/>
      <c r="AG22" s="388">
        <f>SUM(AG15:AG21)</f>
        <v>799908.65347242891</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45000</v>
      </c>
      <c r="F27" s="387"/>
      <c r="G27" s="387">
        <f>E27*$C$27</f>
        <v>46575</v>
      </c>
      <c r="H27" s="387"/>
      <c r="I27" s="387">
        <f>G27*$C$27</f>
        <v>48205.124999999993</v>
      </c>
      <c r="J27" s="387"/>
      <c r="K27" s="387">
        <f>I27*$C$27</f>
        <v>49892.304374999985</v>
      </c>
      <c r="L27" s="387"/>
      <c r="M27" s="387">
        <f>K27*$C$27</f>
        <v>51638.535028124978</v>
      </c>
      <c r="N27" s="387"/>
      <c r="O27" s="387">
        <f>M27*$C$27</f>
        <v>53445.883754109345</v>
      </c>
      <c r="P27" s="387"/>
      <c r="Q27" s="387">
        <f>O27*$C$27</f>
        <v>55316.489685503169</v>
      </c>
      <c r="R27" s="387"/>
      <c r="S27" s="387">
        <f>Q27*$C$27</f>
        <v>57252.566824495778</v>
      </c>
      <c r="T27" s="387"/>
      <c r="U27" s="387">
        <f>S27*$C$27</f>
        <v>59256.406663353126</v>
      </c>
      <c r="V27" s="387"/>
      <c r="W27" s="387">
        <f>U27*$C$27</f>
        <v>61330.380896570481</v>
      </c>
      <c r="X27" s="387"/>
      <c r="Y27" s="387">
        <f>W27*$C$27</f>
        <v>63476.944227950444</v>
      </c>
      <c r="Z27" s="387"/>
      <c r="AA27" s="387">
        <f>Y27*$C$27</f>
        <v>65698.637275928704</v>
      </c>
      <c r="AB27" s="387"/>
      <c r="AC27" s="387">
        <f>AA27*$C$27</f>
        <v>67998.089580586209</v>
      </c>
      <c r="AD27" s="387"/>
      <c r="AE27" s="387">
        <f>AC27*$C$27</f>
        <v>70378.022715906714</v>
      </c>
      <c r="AF27" s="387"/>
      <c r="AG27" s="387">
        <f>AE27*$C$27</f>
        <v>72841.253510963448</v>
      </c>
    </row>
    <row r="28" spans="1:34" ht="13.8">
      <c r="A28" s="599" t="s">
        <v>1082</v>
      </c>
      <c r="B28" s="376"/>
      <c r="C28" s="407"/>
      <c r="D28" s="376"/>
      <c r="E28" s="387">
        <f>Application!AC868</f>
        <v>35000</v>
      </c>
      <c r="F28" s="387"/>
      <c r="G28" s="387">
        <f>$E$28</f>
        <v>35000</v>
      </c>
      <c r="H28" s="387"/>
      <c r="I28" s="387">
        <f>$E$28</f>
        <v>35000</v>
      </c>
      <c r="J28" s="387"/>
      <c r="K28" s="387">
        <f>$E$28</f>
        <v>35000</v>
      </c>
      <c r="L28" s="387"/>
      <c r="M28" s="387">
        <f>$E$28</f>
        <v>35000</v>
      </c>
      <c r="N28" s="387"/>
      <c r="O28" s="387">
        <f>$E$28</f>
        <v>35000</v>
      </c>
      <c r="P28" s="387"/>
      <c r="Q28" s="387">
        <f>$E$28</f>
        <v>35000</v>
      </c>
      <c r="R28" s="387"/>
      <c r="S28" s="387">
        <f>$E$28</f>
        <v>35000</v>
      </c>
      <c r="T28" s="387"/>
      <c r="U28" s="387">
        <f>$E$28</f>
        <v>35000</v>
      </c>
      <c r="V28" s="387"/>
      <c r="W28" s="387">
        <f>$E$28</f>
        <v>35000</v>
      </c>
      <c r="X28" s="387"/>
      <c r="Y28" s="387">
        <f>$E$28</f>
        <v>35000</v>
      </c>
      <c r="Z28" s="387"/>
      <c r="AA28" s="387">
        <f>$E$28</f>
        <v>35000</v>
      </c>
      <c r="AB28" s="387"/>
      <c r="AC28" s="387">
        <f>$E$28</f>
        <v>35000</v>
      </c>
      <c r="AD28" s="387"/>
      <c r="AE28" s="387">
        <f>$E$28</f>
        <v>35000</v>
      </c>
      <c r="AF28" s="387"/>
      <c r="AG28" s="387">
        <f>$E$28</f>
        <v>35000</v>
      </c>
    </row>
    <row r="29" spans="1:34" ht="13.8">
      <c r="A29" s="599" t="s">
        <v>1937</v>
      </c>
      <c r="B29" s="376"/>
      <c r="C29" s="407"/>
      <c r="D29" s="376"/>
      <c r="E29" s="387">
        <f>Application!AC869</f>
        <v>5000</v>
      </c>
      <c r="F29" s="387"/>
      <c r="G29" s="387">
        <f>$E$29</f>
        <v>5000</v>
      </c>
      <c r="H29" s="387"/>
      <c r="I29" s="387">
        <f>$E$29</f>
        <v>5000</v>
      </c>
      <c r="J29" s="387"/>
      <c r="K29" s="387">
        <f>$E$29</f>
        <v>5000</v>
      </c>
      <c r="L29" s="387"/>
      <c r="M29" s="387">
        <f>$E$29</f>
        <v>5000</v>
      </c>
      <c r="N29" s="387"/>
      <c r="O29" s="387">
        <f>$E$29</f>
        <v>5000</v>
      </c>
      <c r="P29" s="387"/>
      <c r="Q29" s="387">
        <f>$E$29</f>
        <v>5000</v>
      </c>
      <c r="R29" s="387"/>
      <c r="S29" s="387">
        <f>$E$29</f>
        <v>5000</v>
      </c>
      <c r="T29" s="387"/>
      <c r="U29" s="387">
        <f>$E$29</f>
        <v>5000</v>
      </c>
      <c r="V29" s="387"/>
      <c r="W29" s="387">
        <f>$E$29</f>
        <v>5000</v>
      </c>
      <c r="X29" s="387"/>
      <c r="Y29" s="387">
        <f>$E$29</f>
        <v>5000</v>
      </c>
      <c r="Z29" s="387"/>
      <c r="AA29" s="387">
        <f>$E$29</f>
        <v>5000</v>
      </c>
      <c r="AB29" s="387"/>
      <c r="AC29" s="387">
        <f>$E$29</f>
        <v>5000</v>
      </c>
      <c r="AD29" s="387"/>
      <c r="AE29" s="387">
        <f>$E$29</f>
        <v>5000</v>
      </c>
      <c r="AF29" s="387"/>
      <c r="AG29" s="387">
        <f>$E$29</f>
        <v>5000</v>
      </c>
    </row>
    <row r="30" spans="1:34" ht="13.8">
      <c r="A30" s="599" t="s">
        <v>1083</v>
      </c>
      <c r="B30" s="376"/>
      <c r="C30" s="407">
        <v>1.02</v>
      </c>
      <c r="D30" s="376"/>
      <c r="E30" s="387">
        <f>Application!AC870</f>
        <v>1323</v>
      </c>
      <c r="F30" s="387"/>
      <c r="G30" s="387">
        <f>E30*$C$30</f>
        <v>1349.46</v>
      </c>
      <c r="H30" s="387"/>
      <c r="I30" s="387">
        <f>G30*$C$30</f>
        <v>1376.4492</v>
      </c>
      <c r="J30" s="387"/>
      <c r="K30" s="387">
        <f>I30*$C$30</f>
        <v>1403.9781840000001</v>
      </c>
      <c r="L30" s="387"/>
      <c r="M30" s="387">
        <f>K30*$C$30</f>
        <v>1432.0577476800001</v>
      </c>
      <c r="N30" s="387"/>
      <c r="O30" s="387">
        <f>M30*$C$30</f>
        <v>1460.6989026336003</v>
      </c>
      <c r="P30" s="387"/>
      <c r="Q30" s="387">
        <f>O30*$C$30</f>
        <v>1489.9128806862723</v>
      </c>
      <c r="R30" s="387"/>
      <c r="S30" s="387">
        <f>Q30*$C$30</f>
        <v>1519.7111382999979</v>
      </c>
      <c r="T30" s="387"/>
      <c r="U30" s="387">
        <f>S30*$C$30</f>
        <v>1550.1053610659978</v>
      </c>
      <c r="V30" s="387"/>
      <c r="W30" s="387">
        <f>U30*$C$30</f>
        <v>1581.1074682873177</v>
      </c>
      <c r="X30" s="387"/>
      <c r="Y30" s="387">
        <f>W30*$C$30</f>
        <v>1612.729617653064</v>
      </c>
      <c r="Z30" s="387"/>
      <c r="AA30" s="387">
        <f>Y30*$C$30</f>
        <v>1644.9842100061253</v>
      </c>
      <c r="AB30" s="387"/>
      <c r="AC30" s="387">
        <f>AA30*$C$30</f>
        <v>1677.8838942062478</v>
      </c>
      <c r="AD30" s="387"/>
      <c r="AE30" s="387">
        <f>AC30*$C$30</f>
        <v>1711.4415720903728</v>
      </c>
      <c r="AF30" s="387"/>
      <c r="AG30" s="387">
        <f>AE30*$C$30</f>
        <v>1745.6704035321802</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580492</v>
      </c>
      <c r="F35" s="388"/>
      <c r="G35" s="388">
        <f>SUM(G22:G33)</f>
        <v>599389.37499999988</v>
      </c>
      <c r="H35" s="388"/>
      <c r="I35" s="388">
        <f>SUM(I22:I33)</f>
        <v>618947.76122499991</v>
      </c>
      <c r="J35" s="388"/>
      <c r="K35" s="388">
        <f>SUM(K22:K33)</f>
        <v>639190.28612987488</v>
      </c>
      <c r="L35" s="388"/>
      <c r="M35" s="388">
        <f>SUM(M22:M33)</f>
        <v>660140.88647166034</v>
      </c>
      <c r="N35" s="388"/>
      <c r="O35" s="388">
        <f>SUM(O22:O33)</f>
        <v>681824.33663195337</v>
      </c>
      <c r="P35" s="388"/>
      <c r="Q35" s="388">
        <f>SUM(Q22:Q33)</f>
        <v>704266.27793053212</v>
      </c>
      <c r="R35" s="388"/>
      <c r="S35" s="388">
        <f>SUM(S22:S33)</f>
        <v>727493.24896489037</v>
      </c>
      <c r="T35" s="388"/>
      <c r="U35" s="388">
        <f>SUM(U22:U33)</f>
        <v>751532.71701158688</v>
      </c>
      <c r="V35" s="388"/>
      <c r="W35" s="388">
        <f>SUM(W22:W33)</f>
        <v>776413.11052657652</v>
      </c>
      <c r="X35" s="388"/>
      <c r="Y35" s="388">
        <f>SUM(Y22:Y33)</f>
        <v>802163.85278298229</v>
      </c>
      <c r="Z35" s="388"/>
      <c r="AA35" s="388">
        <f>SUM(AA22:AA33)</f>
        <v>828815.39668612182</v>
      </c>
      <c r="AB35" s="388"/>
      <c r="AC35" s="388">
        <f>SUM(AC22:AC33)</f>
        <v>856399.2608069859</v>
      </c>
      <c r="AD35" s="388"/>
      <c r="AE35" s="388">
        <f>SUM(AE22:AE33)</f>
        <v>884948.06667681725</v>
      </c>
      <c r="AF35" s="388"/>
      <c r="AG35" s="388">
        <f>SUM(AG22:AG33)</f>
        <v>914495.57738692453</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369167.9</v>
      </c>
      <c r="F37" s="388"/>
      <c r="G37" s="388">
        <f>G11-G35</f>
        <v>372689.90749999997</v>
      </c>
      <c r="H37" s="388"/>
      <c r="I37" s="388">
        <f>I11-I35</f>
        <v>376084.94603750005</v>
      </c>
      <c r="J37" s="388"/>
      <c r="K37" s="388">
        <f>K11-K35</f>
        <v>379342.7103681874</v>
      </c>
      <c r="L37" s="388"/>
      <c r="M37" s="388">
        <f>M11-M35</f>
        <v>382452.39592393325</v>
      </c>
      <c r="N37" s="388"/>
      <c r="O37" s="388">
        <f>O11-O35</f>
        <v>385402.67802831193</v>
      </c>
      <c r="P37" s="388"/>
      <c r="Q37" s="388">
        <f>Q11-Q35</f>
        <v>388181.69030511682</v>
      </c>
      <c r="R37" s="388"/>
      <c r="S37" s="388">
        <f>S11-S35</f>
        <v>390777.00224970467</v>
      </c>
      <c r="T37" s="388"/>
      <c r="U37" s="388">
        <f>U11-U35</f>
        <v>393175.59593188867</v>
      </c>
      <c r="V37" s="388"/>
      <c r="W37" s="388">
        <f>W11-W35</f>
        <v>395363.84179797198</v>
      </c>
      <c r="X37" s="388"/>
      <c r="Y37" s="388">
        <f>Y11-Y35</f>
        <v>397327.47353831574</v>
      </c>
      <c r="Z37" s="388"/>
      <c r="AA37" s="388">
        <f>AA11-AA35</f>
        <v>399051.56198561727</v>
      </c>
      <c r="AB37" s="388"/>
      <c r="AC37" s="388">
        <f>AC11-AC35</f>
        <v>400520.48800780321</v>
      </c>
      <c r="AD37" s="388"/>
      <c r="AE37" s="388">
        <f>AE11-AE35</f>
        <v>401717.91435812355</v>
      </c>
      <c r="AF37" s="388"/>
      <c r="AG37" s="388">
        <f>AG11-AG35</f>
        <v>402626.75644366723</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Perm Loan- Citi Bank</v>
      </c>
      <c r="B40" s="391"/>
      <c r="C40" s="385"/>
      <c r="D40" s="376"/>
      <c r="E40" s="384">
        <f>Application!AF621</f>
        <v>321015.56515586871</v>
      </c>
      <c r="F40" s="384"/>
      <c r="G40" s="384">
        <f>$E$40</f>
        <v>321015.56515586871</v>
      </c>
      <c r="H40" s="384"/>
      <c r="I40" s="384">
        <f>$E$40</f>
        <v>321015.56515586871</v>
      </c>
      <c r="J40" s="384"/>
      <c r="K40" s="384">
        <f>$E$40</f>
        <v>321015.56515586871</v>
      </c>
      <c r="L40" s="384"/>
      <c r="M40" s="384">
        <f>$E$40</f>
        <v>321015.56515586871</v>
      </c>
      <c r="N40" s="384"/>
      <c r="O40" s="384">
        <f>$E$40</f>
        <v>321015.56515586871</v>
      </c>
      <c r="P40" s="384"/>
      <c r="Q40" s="384">
        <f>$E$40</f>
        <v>321015.56515586871</v>
      </c>
      <c r="R40" s="384"/>
      <c r="S40" s="384">
        <f>$E$40</f>
        <v>321015.56515586871</v>
      </c>
      <c r="T40" s="384"/>
      <c r="U40" s="384">
        <f>$E$40</f>
        <v>321015.56515586871</v>
      </c>
      <c r="V40" s="384"/>
      <c r="W40" s="384">
        <f>$E$40</f>
        <v>321015.56515586871</v>
      </c>
      <c r="X40" s="384"/>
      <c r="Y40" s="384">
        <f>$E$40</f>
        <v>321015.56515586871</v>
      </c>
      <c r="Z40" s="384"/>
      <c r="AA40" s="384">
        <f>$E$40</f>
        <v>321015.56515586871</v>
      </c>
      <c r="AB40" s="384"/>
      <c r="AC40" s="384">
        <f>$E$40</f>
        <v>321015.56515586871</v>
      </c>
      <c r="AD40" s="384"/>
      <c r="AE40" s="384">
        <f>$E$40</f>
        <v>321015.56515586871</v>
      </c>
      <c r="AF40" s="384"/>
      <c r="AG40" s="384">
        <f>$E$40</f>
        <v>321015.56515586871</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321015.56515586871</v>
      </c>
      <c r="F43" s="388"/>
      <c r="G43" s="388">
        <f>SUM(G40:G42)</f>
        <v>321015.56515586871</v>
      </c>
      <c r="H43" s="388"/>
      <c r="I43" s="388">
        <f>SUM(I40:I42)</f>
        <v>321015.56515586871</v>
      </c>
      <c r="J43" s="388"/>
      <c r="K43" s="388">
        <f>SUM(K40:K42)</f>
        <v>321015.56515586871</v>
      </c>
      <c r="L43" s="388"/>
      <c r="M43" s="388">
        <f>SUM(M40:M42)</f>
        <v>321015.56515586871</v>
      </c>
      <c r="N43" s="388"/>
      <c r="O43" s="388">
        <f>SUM(O40:O42)</f>
        <v>321015.56515586871</v>
      </c>
      <c r="P43" s="388"/>
      <c r="Q43" s="388">
        <f>SUM(Q40:Q42)</f>
        <v>321015.56515586871</v>
      </c>
      <c r="R43" s="388"/>
      <c r="S43" s="388">
        <f>SUM(S40:S42)</f>
        <v>321015.56515586871</v>
      </c>
      <c r="T43" s="388"/>
      <c r="U43" s="388">
        <f>SUM(U40:U42)</f>
        <v>321015.56515586871</v>
      </c>
      <c r="V43" s="388"/>
      <c r="W43" s="388">
        <f>SUM(W40:W42)</f>
        <v>321015.56515586871</v>
      </c>
      <c r="X43" s="388"/>
      <c r="Y43" s="388">
        <f>SUM(Y40:Y42)</f>
        <v>321015.56515586871</v>
      </c>
      <c r="Z43" s="388"/>
      <c r="AA43" s="388">
        <f>SUM(AA40:AA42)</f>
        <v>321015.56515586871</v>
      </c>
      <c r="AB43" s="388"/>
      <c r="AC43" s="388">
        <f>SUM(AC40:AC42)</f>
        <v>321015.56515586871</v>
      </c>
      <c r="AD43" s="388"/>
      <c r="AE43" s="388">
        <f>SUM(AE40:AE42)</f>
        <v>321015.56515586871</v>
      </c>
      <c r="AF43" s="388"/>
      <c r="AG43" s="388">
        <f>SUM(AG40:AG42)</f>
        <v>321015.56515586871</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48152.334844131314</v>
      </c>
      <c r="F45" s="388"/>
      <c r="G45" s="388">
        <f>G37-G43</f>
        <v>51674.342344131263</v>
      </c>
      <c r="H45" s="388"/>
      <c r="I45" s="388">
        <f>I37-I43</f>
        <v>55069.380881631339</v>
      </c>
      <c r="J45" s="388"/>
      <c r="K45" s="388">
        <f>K37-K43</f>
        <v>58327.14521231869</v>
      </c>
      <c r="L45" s="388"/>
      <c r="M45" s="388">
        <f>M37-M43</f>
        <v>61436.830768064538</v>
      </c>
      <c r="N45" s="388"/>
      <c r="O45" s="388">
        <f>O37-O43</f>
        <v>64387.11287244322</v>
      </c>
      <c r="P45" s="388"/>
      <c r="Q45" s="388">
        <f>Q37-Q43</f>
        <v>67166.12514924811</v>
      </c>
      <c r="R45" s="388"/>
      <c r="S45" s="388">
        <f>S37-S43</f>
        <v>69761.437093835964</v>
      </c>
      <c r="T45" s="388"/>
      <c r="U45" s="388">
        <f>U37-U43</f>
        <v>72160.030776019965</v>
      </c>
      <c r="V45" s="388"/>
      <c r="W45" s="388">
        <f>W37-W43</f>
        <v>74348.276642103272</v>
      </c>
      <c r="X45" s="388"/>
      <c r="Y45" s="388">
        <f>Y37-Y43</f>
        <v>76311.908382447029</v>
      </c>
      <c r="Z45" s="388"/>
      <c r="AA45" s="388">
        <f>AA37-AA43</f>
        <v>78035.996829748561</v>
      </c>
      <c r="AB45" s="388"/>
      <c r="AC45" s="388">
        <f>AC37-AC43</f>
        <v>79504.922851934505</v>
      </c>
      <c r="AD45" s="388"/>
      <c r="AE45" s="388">
        <f>AE37-AE43</f>
        <v>80702.349202254845</v>
      </c>
      <c r="AF45" s="388"/>
      <c r="AG45" s="388">
        <f>AG37-AG43</f>
        <v>81611.191287798516</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4.8169579553611508E-2</v>
      </c>
      <c r="F47" s="392"/>
      <c r="G47" s="392">
        <f>G45/(G4+G6+G8)</f>
        <v>5.0500639310687816E-2</v>
      </c>
      <c r="H47" s="392"/>
      <c r="I47" s="392">
        <f>I45/(I4+I6+I8)</f>
        <v>5.2577077573137801E-2</v>
      </c>
      <c r="J47" s="392"/>
      <c r="K47" s="392">
        <f>K45/(K4+K6+K8)</f>
        <v>5.440254576161703E-2</v>
      </c>
      <c r="L47" s="392"/>
      <c r="M47" s="392">
        <f>M45/(M4+M6+M8)</f>
        <v>5.5980592063239236E-2</v>
      </c>
      <c r="N47" s="392"/>
      <c r="O47" s="392">
        <f>O45/(O4+O6+O8)</f>
        <v>5.7314663505114556E-2</v>
      </c>
      <c r="P47" s="392"/>
      <c r="Q47" s="392">
        <f>Q45/(Q4+Q6+Q8)</f>
        <v>5.8408107980500078E-2</v>
      </c>
      <c r="R47" s="392"/>
      <c r="S47" s="392">
        <f>S45/(S4+S6+S8)</f>
        <v>5.9264176228565682E-2</v>
      </c>
      <c r="T47" s="392"/>
      <c r="U47" s="392">
        <f>U45/(U4+U6+U8)</f>
        <v>5.9886023768750248E-2</v>
      </c>
      <c r="V47" s="392"/>
      <c r="W47" s="392">
        <f>W45/(W4+W6+W8)</f>
        <v>6.0276712790674009E-2</v>
      </c>
      <c r="X47" s="392"/>
      <c r="Y47" s="392">
        <f>Y45/(Y4+Y6+Y8)</f>
        <v>6.0439214000540156E-2</v>
      </c>
      <c r="Z47" s="392"/>
      <c r="AA47" s="392">
        <f>AA45/(AA4+AA6+AA8)</f>
        <v>6.0376408424945939E-2</v>
      </c>
      <c r="AB47" s="392"/>
      <c r="AC47" s="392">
        <f>AC45/(AC4+AC6+AC8)</f>
        <v>6.00910891730028E-2</v>
      </c>
      <c r="AD47" s="392"/>
      <c r="AE47" s="392">
        <f>AE45/(AE4+AE6+AE8)</f>
        <v>5.9585963157644188E-2</v>
      </c>
      <c r="AF47" s="392"/>
      <c r="AG47" s="392">
        <f>AG45/(AG4+AG6+AG8)</f>
        <v>5.886365277697931E-2</v>
      </c>
      <c r="AH47" s="392"/>
      <c r="AI47" s="392"/>
    </row>
    <row r="48" spans="1:35" ht="13.8">
      <c r="A48" s="392" t="s">
        <v>1089</v>
      </c>
      <c r="B48" s="392"/>
      <c r="C48" s="385"/>
      <c r="D48" s="392"/>
      <c r="E48" s="392">
        <f>E45/E43</f>
        <v>0.15000000022039744</v>
      </c>
      <c r="F48" s="392"/>
      <c r="G48" s="392">
        <f>G45/G43</f>
        <v>0.16097145420048667</v>
      </c>
      <c r="H48" s="392"/>
      <c r="I48" s="392">
        <f>I45/I43</f>
        <v>0.17154738542005735</v>
      </c>
      <c r="J48" s="392"/>
      <c r="K48" s="392">
        <f>K45/K43</f>
        <v>0.18169569187088488</v>
      </c>
      <c r="L48" s="392"/>
      <c r="M48" s="392">
        <f>M45/M43</f>
        <v>0.19138271609426152</v>
      </c>
      <c r="N48" s="392"/>
      <c r="O48" s="392">
        <f>O45/O43</f>
        <v>0.20057318043497405</v>
      </c>
      <c r="P48" s="392"/>
      <c r="Q48" s="392">
        <f>Q45/Q43</f>
        <v>0.20923011978137471</v>
      </c>
      <c r="R48" s="392"/>
      <c r="S48" s="392">
        <f>S45/S43</f>
        <v>0.21731481169756794</v>
      </c>
      <c r="T48" s="392"/>
      <c r="U48" s="392">
        <f>U45/U43</f>
        <v>0.22478670385027202</v>
      </c>
      <c r="V48" s="392"/>
      <c r="W48" s="392">
        <f>W45/W43</f>
        <v>0.23160333862940122</v>
      </c>
      <c r="X48" s="392"/>
      <c r="Y48" s="392">
        <f>Y45/Y43</f>
        <v>0.23772027485768135</v>
      </c>
      <c r="Z48" s="392"/>
      <c r="AA48" s="392">
        <f>AA45/AA43</f>
        <v>0.24309100648081747</v>
      </c>
      <c r="AB48" s="392"/>
      <c r="AC48" s="392">
        <f>AC45/AC43</f>
        <v>0.24766687812577245</v>
      </c>
      <c r="AD48" s="392"/>
      <c r="AE48" s="392">
        <f>AE45/AE43</f>
        <v>0.25139699741060817</v>
      </c>
      <c r="AF48" s="392"/>
      <c r="AG48" s="392">
        <f>AG45/AG43</f>
        <v>0.25422814388508641</v>
      </c>
      <c r="AH48" s="392"/>
      <c r="AI48" s="392"/>
    </row>
    <row r="49" spans="1:35" ht="13.8">
      <c r="A49" s="393" t="s">
        <v>1090</v>
      </c>
      <c r="B49" s="393"/>
      <c r="C49" s="394"/>
      <c r="D49" s="393"/>
      <c r="E49" s="393">
        <f>E37/E43</f>
        <v>1.1500000002203974</v>
      </c>
      <c r="F49" s="393"/>
      <c r="G49" s="393">
        <f>G37/G43</f>
        <v>1.1609714542004868</v>
      </c>
      <c r="H49" s="393"/>
      <c r="I49" s="393">
        <f>I37/I43</f>
        <v>1.1715473854200573</v>
      </c>
      <c r="J49" s="393"/>
      <c r="K49" s="393">
        <f>K37/K43</f>
        <v>1.181695691870885</v>
      </c>
      <c r="L49" s="393"/>
      <c r="M49" s="393">
        <f>M37/M43</f>
        <v>1.1913827160942616</v>
      </c>
      <c r="N49" s="393"/>
      <c r="O49" s="393">
        <f>O37/O43</f>
        <v>1.200573180434974</v>
      </c>
      <c r="P49" s="393"/>
      <c r="Q49" s="393">
        <f>Q37/Q43</f>
        <v>1.2092301197813746</v>
      </c>
      <c r="R49" s="393"/>
      <c r="S49" s="393">
        <f>S37/S43</f>
        <v>1.2173148116975681</v>
      </c>
      <c r="T49" s="393"/>
      <c r="U49" s="393">
        <f>U37/U43</f>
        <v>1.224786703850272</v>
      </c>
      <c r="V49" s="393"/>
      <c r="W49" s="393">
        <f>W37/W43</f>
        <v>1.2316033386294012</v>
      </c>
      <c r="X49" s="393"/>
      <c r="Y49" s="393">
        <f>Y37/Y43</f>
        <v>1.2377202748576814</v>
      </c>
      <c r="Z49" s="393"/>
      <c r="AA49" s="393">
        <f>AA37/AA43</f>
        <v>1.2430910064808174</v>
      </c>
      <c r="AB49" s="393"/>
      <c r="AC49" s="393">
        <f>AC37/AC43</f>
        <v>1.2476668781257725</v>
      </c>
      <c r="AD49" s="393"/>
      <c r="AE49" s="393">
        <f>AE37/AE43</f>
        <v>1.2513969974106083</v>
      </c>
      <c r="AF49" s="393"/>
      <c r="AG49" s="393">
        <f>AG37/AG43</f>
        <v>1.2542281438850864</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10000</v>
      </c>
      <c r="F53" s="374"/>
      <c r="G53" s="819">
        <f>E53*$C$53</f>
        <v>10300</v>
      </c>
      <c r="H53" s="819"/>
      <c r="I53" s="819">
        <f>G53*$C$53</f>
        <v>10609</v>
      </c>
      <c r="J53" s="819"/>
      <c r="K53" s="819">
        <f>I53*$C$53</f>
        <v>10927.27</v>
      </c>
      <c r="L53" s="819"/>
      <c r="M53" s="819">
        <f>K53*$C$53</f>
        <v>11255.088100000001</v>
      </c>
      <c r="N53" s="819"/>
      <c r="O53" s="819">
        <f>M53*$C$53</f>
        <v>11592.740743</v>
      </c>
      <c r="P53" s="819"/>
      <c r="Q53" s="819">
        <f>O53*$C$53</f>
        <v>11940.52296529</v>
      </c>
      <c r="R53" s="819"/>
      <c r="S53" s="819">
        <f>Q53*$C$53</f>
        <v>12298.7386542487</v>
      </c>
      <c r="T53" s="819"/>
      <c r="U53" s="819">
        <f>S53*$C$53</f>
        <v>12667.700813876161</v>
      </c>
      <c r="V53" s="819"/>
      <c r="W53" s="819">
        <f>U53*$C$53</f>
        <v>13047.731838292446</v>
      </c>
      <c r="X53" s="819"/>
      <c r="Y53" s="819">
        <f>W53*$C$53</f>
        <v>13439.163793441219</v>
      </c>
      <c r="Z53" s="819"/>
      <c r="AA53" s="819">
        <f>Y53*$C$53</f>
        <v>13842.338707244457</v>
      </c>
      <c r="AB53" s="819"/>
      <c r="AC53" s="819">
        <f>AA53*$C$53</f>
        <v>14257.60886846179</v>
      </c>
      <c r="AD53" s="819"/>
      <c r="AE53" s="819">
        <f>AC53*$C$53</f>
        <v>14685.337134515645</v>
      </c>
      <c r="AF53" s="819"/>
      <c r="AG53" s="819">
        <f>AE53*$C$53</f>
        <v>15125.897248551115</v>
      </c>
      <c r="AH53" s="374"/>
      <c r="AI53" s="374"/>
    </row>
    <row r="54" spans="1:35">
      <c r="A54" s="361" t="s">
        <v>1093</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15000</v>
      </c>
      <c r="F58" s="380"/>
      <c r="G58" s="380">
        <f>SUM(G53:G57)</f>
        <v>15450</v>
      </c>
      <c r="H58" s="380"/>
      <c r="I58" s="380">
        <f>SUM(I53:I57)</f>
        <v>15913.5</v>
      </c>
      <c r="J58" s="380"/>
      <c r="K58" s="380">
        <f>SUM(K53:K57)</f>
        <v>16390.904999999999</v>
      </c>
      <c r="L58" s="380"/>
      <c r="M58" s="380">
        <f>SUM(M53:M57)</f>
        <v>16882.632150000001</v>
      </c>
      <c r="N58" s="380"/>
      <c r="O58" s="380">
        <f>SUM(O53:O57)</f>
        <v>17389.1111145</v>
      </c>
      <c r="P58" s="380"/>
      <c r="Q58" s="380">
        <f>SUM(Q53:Q57)</f>
        <v>17910.784447934999</v>
      </c>
      <c r="R58" s="380"/>
      <c r="S58" s="380">
        <f>SUM(S53:S57)</f>
        <v>18448.10798137305</v>
      </c>
      <c r="T58" s="380"/>
      <c r="U58" s="380">
        <f>SUM(U53:U57)</f>
        <v>19001.551220814243</v>
      </c>
      <c r="V58" s="380"/>
      <c r="W58" s="380">
        <f>SUM(W53:W57)</f>
        <v>19571.597757438671</v>
      </c>
      <c r="X58" s="380"/>
      <c r="Y58" s="380">
        <f>SUM(Y53:Y57)</f>
        <v>20158.745690161828</v>
      </c>
      <c r="Z58" s="380"/>
      <c r="AA58" s="380">
        <f>SUM(AA53:AA57)</f>
        <v>20763.508060866683</v>
      </c>
      <c r="AB58" s="380"/>
      <c r="AC58" s="380">
        <f>SUM(AC53:AC57)</f>
        <v>21386.413302692687</v>
      </c>
      <c r="AD58" s="380"/>
      <c r="AE58" s="380">
        <f>SUM(AE53:AE57)</f>
        <v>22028.005701773465</v>
      </c>
      <c r="AF58" s="380"/>
      <c r="AG58" s="380">
        <f>SUM(AG53:AG57)</f>
        <v>22688.845872826671</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33152.334844131314</v>
      </c>
      <c r="F60" s="374"/>
      <c r="G60" s="374">
        <f>G45-G58</f>
        <v>36224.342344131263</v>
      </c>
      <c r="H60" s="374"/>
      <c r="I60" s="374">
        <f>I45-I58</f>
        <v>39155.880881631339</v>
      </c>
      <c r="J60" s="374"/>
      <c r="K60" s="374">
        <f>K45-K58</f>
        <v>41936.240212318691</v>
      </c>
      <c r="L60" s="374"/>
      <c r="M60" s="374">
        <f>M45-M58</f>
        <v>44554.198618064533</v>
      </c>
      <c r="N60" s="374"/>
      <c r="O60" s="374">
        <f>O45-O58</f>
        <v>46998.001757943217</v>
      </c>
      <c r="P60" s="374"/>
      <c r="Q60" s="374">
        <f>Q45-Q58</f>
        <v>49255.340701313107</v>
      </c>
      <c r="R60" s="374"/>
      <c r="S60" s="374">
        <f>S45-S58</f>
        <v>51313.329112462918</v>
      </c>
      <c r="T60" s="374"/>
      <c r="U60" s="374">
        <f>U45-U58</f>
        <v>53158.479555205718</v>
      </c>
      <c r="V60" s="374"/>
      <c r="W60" s="374">
        <f>W45-W58</f>
        <v>54776.678884664601</v>
      </c>
      <c r="X60" s="374"/>
      <c r="Y60" s="374">
        <f>Y45-Y58</f>
        <v>56153.162692285201</v>
      </c>
      <c r="Z60" s="374"/>
      <c r="AA60" s="374">
        <f>AA45-AA58</f>
        <v>57272.488768881878</v>
      </c>
      <c r="AB60" s="374"/>
      <c r="AC60" s="374">
        <f>AC45-AC58</f>
        <v>58118.509549241819</v>
      </c>
      <c r="AD60" s="374"/>
      <c r="AE60" s="374">
        <f>AE45-AE58</f>
        <v>58674.34350048138</v>
      </c>
      <c r="AF60" s="374"/>
      <c r="AG60" s="374">
        <f>AG45-AG58</f>
        <v>58922.345414971845</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967">
        <v>1</v>
      </c>
      <c r="D62" s="374"/>
      <c r="E62" s="401">
        <f>E60*$C$62</f>
        <v>33152.334844131314</v>
      </c>
      <c r="F62" s="374"/>
      <c r="G62" s="821">
        <f>MIN(G60,Application!$AO$623-SUM('15 Year Pro Forma'!$D$62:F62))</f>
        <v>15382.085155868685</v>
      </c>
      <c r="H62" s="374"/>
      <c r="I62" s="821">
        <f>MIN(I60,Application!$AO$623-SUM('15 Year Pro Forma'!$D$62:H62))</f>
        <v>0</v>
      </c>
      <c r="J62" s="374"/>
      <c r="K62" s="821">
        <f>MIN(K60,Application!$AO$623-SUM('15 Year Pro Forma'!$D$62:J62))</f>
        <v>0</v>
      </c>
      <c r="L62" s="374"/>
      <c r="M62" s="821">
        <f>MIN(M60,Application!$AO$623-SUM('15 Year Pro Forma'!$D$62:L62))</f>
        <v>0</v>
      </c>
      <c r="N62" s="374"/>
      <c r="O62" s="821">
        <f>MIN(O60,Application!$AO$623-SUM('15 Year Pro Forma'!$D$62:N62))</f>
        <v>0</v>
      </c>
      <c r="P62" s="374"/>
      <c r="Q62" s="821">
        <f>MIN(Q60,Application!$AO$623-SUM('15 Year Pro Forma'!$D$62:P62))</f>
        <v>0</v>
      </c>
      <c r="R62" s="374"/>
      <c r="S62" s="821">
        <f>MIN(S60,Application!$AO$623-SUM('15 Year Pro Forma'!$D$62:R62))</f>
        <v>0</v>
      </c>
      <c r="T62" s="374"/>
      <c r="U62" s="821">
        <f>MIN(U60,Application!$AO$623-SUM('15 Year Pro Forma'!$D$62:T62))</f>
        <v>0</v>
      </c>
      <c r="V62" s="374"/>
      <c r="W62" s="821">
        <f>MIN(W60,Application!$AO$623-SUM('15 Year Pro Forma'!$D$62:V62))</f>
        <v>0</v>
      </c>
      <c r="X62" s="374"/>
      <c r="Y62" s="821">
        <f>MIN(Y60,Application!$AO$623-SUM('15 Year Pro Forma'!$D$62:X62))</f>
        <v>0</v>
      </c>
      <c r="Z62" s="374"/>
      <c r="AA62" s="821">
        <f>MIN(AA60,Application!$AO$623-SUM('15 Year Pro Forma'!$D$62:Z62))</f>
        <v>0</v>
      </c>
      <c r="AB62" s="374"/>
      <c r="AC62" s="821">
        <f>MIN(AC60,Application!$AO$623-SUM('15 Year Pro Forma'!$D$62:AB62))</f>
        <v>0</v>
      </c>
      <c r="AD62" s="374"/>
      <c r="AE62" s="821">
        <f>MIN(AE60,Application!$AO$623-SUM('15 Year Pro Forma'!$D$62:AD62))</f>
        <v>0</v>
      </c>
      <c r="AF62" s="374"/>
      <c r="AG62" s="821">
        <f>MIN(AG60,Application!$AO$623-SUM('15 Year Pro Forma'!$D$62:AF62))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3">
        <f>G60*$C$65</f>
        <v>0</v>
      </c>
      <c r="H67" s="380"/>
      <c r="I67" s="823">
        <f>I60*$C$65</f>
        <v>0</v>
      </c>
      <c r="J67" s="380"/>
      <c r="K67" s="823">
        <f>K60*$C$65</f>
        <v>0</v>
      </c>
      <c r="L67" s="380"/>
      <c r="M67" s="823">
        <f>M60*$C$65</f>
        <v>0</v>
      </c>
      <c r="N67" s="380"/>
      <c r="O67" s="823">
        <f>O60*$C$65</f>
        <v>0</v>
      </c>
      <c r="P67" s="380"/>
      <c r="Q67" s="823">
        <f>Q60*$C$65</f>
        <v>0</v>
      </c>
      <c r="R67" s="380"/>
      <c r="S67" s="823">
        <f>S60*$C$65</f>
        <v>0</v>
      </c>
      <c r="T67" s="380"/>
      <c r="U67" s="823">
        <f>U60*$C$65</f>
        <v>0</v>
      </c>
      <c r="V67" s="380"/>
      <c r="W67" s="823">
        <f>W60*$C$65</f>
        <v>0</v>
      </c>
      <c r="X67" s="380"/>
      <c r="Y67" s="823">
        <f>Y60*$C$65</f>
        <v>0</v>
      </c>
      <c r="Z67" s="380"/>
      <c r="AA67" s="823">
        <f>AA60*$C$65</f>
        <v>0</v>
      </c>
      <c r="AB67" s="380"/>
      <c r="AC67" s="823">
        <f>AC60*$C$65</f>
        <v>0</v>
      </c>
      <c r="AD67" s="380"/>
      <c r="AE67" s="823">
        <f>AE60*$C$65</f>
        <v>0</v>
      </c>
      <c r="AF67" s="380"/>
      <c r="AG67" s="823">
        <f>AG60*$C$65</f>
        <v>0</v>
      </c>
      <c r="AH67" s="380"/>
      <c r="AI67" s="380"/>
    </row>
    <row r="68" spans="1:35">
      <c r="A68" s="401"/>
      <c r="B68" s="401"/>
      <c r="C68" s="399"/>
      <c r="D68" s="374"/>
      <c r="E68" s="401"/>
      <c r="F68" s="374"/>
      <c r="G68" s="823">
        <f>G60*$C$65</f>
        <v>0</v>
      </c>
      <c r="H68" s="374"/>
      <c r="I68" s="823">
        <f>I60*$C$65</f>
        <v>0</v>
      </c>
      <c r="J68" s="374"/>
      <c r="K68" s="823">
        <f>K60*$C$65</f>
        <v>0</v>
      </c>
      <c r="L68" s="374"/>
      <c r="M68" s="823">
        <f>M60*$C$65</f>
        <v>0</v>
      </c>
      <c r="N68" s="374"/>
      <c r="O68" s="823">
        <f>O60*$C$65</f>
        <v>0</v>
      </c>
      <c r="P68" s="374"/>
      <c r="Q68" s="823">
        <f>Q60*$C$65</f>
        <v>0</v>
      </c>
      <c r="R68" s="374"/>
      <c r="S68" s="823">
        <f>S60*$C$65</f>
        <v>0</v>
      </c>
      <c r="T68" s="374"/>
      <c r="U68" s="823">
        <f>U60*$C$65</f>
        <v>0</v>
      </c>
      <c r="V68" s="374"/>
      <c r="W68" s="823">
        <f>W60*$C$65</f>
        <v>0</v>
      </c>
      <c r="X68" s="374"/>
      <c r="Y68" s="823">
        <f>Y60*$C$65</f>
        <v>0</v>
      </c>
      <c r="Z68" s="374"/>
      <c r="AA68" s="823">
        <f>AA60*$C$65</f>
        <v>0</v>
      </c>
      <c r="AB68" s="374"/>
      <c r="AC68" s="823">
        <f>AC60*$C$65</f>
        <v>0</v>
      </c>
      <c r="AD68" s="374"/>
      <c r="AE68" s="823">
        <f>AE60*$C$65</f>
        <v>0</v>
      </c>
      <c r="AF68" s="374"/>
      <c r="AG68" s="823">
        <f>AG60*$C$65</f>
        <v>0</v>
      </c>
      <c r="AH68" s="374"/>
      <c r="AI68" s="374"/>
    </row>
    <row r="69" spans="1:35">
      <c r="A69" s="402"/>
      <c r="B69" s="402"/>
      <c r="C69" s="382"/>
      <c r="D69" s="380"/>
      <c r="E69" s="406"/>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f>U60*$C$65</f>
        <v>0</v>
      </c>
      <c r="V69" s="380"/>
      <c r="W69" s="824">
        <f>W60*$C$65</f>
        <v>0</v>
      </c>
      <c r="X69" s="380"/>
      <c r="Y69" s="824">
        <f>Y60*$C$65</f>
        <v>0</v>
      </c>
      <c r="Z69" s="380"/>
      <c r="AA69" s="824">
        <f>AA60*$C$65</f>
        <v>0</v>
      </c>
      <c r="AB69" s="380"/>
      <c r="AC69" s="824">
        <f>AC60*$C$65</f>
        <v>0</v>
      </c>
      <c r="AD69" s="380"/>
      <c r="AE69" s="824">
        <f>AE60*$C$65</f>
        <v>0</v>
      </c>
      <c r="AF69" s="380"/>
      <c r="AG69" s="824">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v>
      </c>
      <c r="F72" s="380"/>
      <c r="G72" s="374">
        <f>G60-G62-G70</f>
        <v>20842.257188262578</v>
      </c>
      <c r="H72" s="380"/>
      <c r="I72" s="374">
        <f>I60-I62-I70</f>
        <v>39155.880881631339</v>
      </c>
      <c r="J72" s="380"/>
      <c r="K72" s="374">
        <f>K60-K62-K70</f>
        <v>41936.240212318691</v>
      </c>
      <c r="L72" s="380"/>
      <c r="M72" s="374">
        <f>M60-M62-M70</f>
        <v>44554.198618064533</v>
      </c>
      <c r="N72" s="380"/>
      <c r="O72" s="374">
        <f>O60-O62-O70</f>
        <v>46998.001757943217</v>
      </c>
      <c r="P72" s="380"/>
      <c r="Q72" s="374">
        <f>Q60-Q62-Q70</f>
        <v>49255.340701313107</v>
      </c>
      <c r="R72" s="380"/>
      <c r="S72" s="374">
        <f>S60-S62-S70</f>
        <v>51313.329112462918</v>
      </c>
      <c r="T72" s="380"/>
      <c r="U72" s="374">
        <f>U60-U62-U70</f>
        <v>53158.479555205718</v>
      </c>
      <c r="V72" s="380"/>
      <c r="W72" s="374">
        <f>W60-W62-W70</f>
        <v>54776.678884664601</v>
      </c>
      <c r="X72" s="380"/>
      <c r="Y72" s="374">
        <f>Y60-Y62-Y70</f>
        <v>56153.162692285201</v>
      </c>
      <c r="Z72" s="380"/>
      <c r="AA72" s="374">
        <f>AA60-AA62-AA70</f>
        <v>57272.488768881878</v>
      </c>
      <c r="AB72" s="380"/>
      <c r="AC72" s="374">
        <f>AC60-AC62-AC70</f>
        <v>58118.509549241819</v>
      </c>
      <c r="AD72" s="380"/>
      <c r="AE72" s="374">
        <f>AE60-AE62-AE70</f>
        <v>58674.34350048138</v>
      </c>
      <c r="AF72" s="380"/>
      <c r="AG72" s="374">
        <f>AG60-AG62-AG70</f>
        <v>58922.345414971845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1099</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1" workbookViewId="0">
      <selection activeCell="F40" sqref="F40"/>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9" t="s">
        <v>1170</v>
      </c>
      <c r="B1" s="1959"/>
      <c r="C1" s="1959"/>
      <c r="D1" s="1959"/>
      <c r="E1" s="1959"/>
      <c r="F1" s="1959"/>
      <c r="G1" s="1959"/>
      <c r="H1" s="1959"/>
      <c r="I1" s="1959"/>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3">
        <f>Application!$G695</f>
        <v>5</v>
      </c>
      <c r="C4" s="602">
        <f>Application!$O695</f>
        <v>383</v>
      </c>
      <c r="D4" s="603"/>
      <c r="E4" s="941">
        <f>1200-Application!Q811</f>
        <v>1073</v>
      </c>
      <c r="F4" s="602">
        <f>$E4*$B4</f>
        <v>5365</v>
      </c>
      <c r="G4" s="603"/>
      <c r="H4" s="602">
        <f>IF($E4=0,0,MAX($E4-$C4,0))</f>
        <v>690</v>
      </c>
      <c r="I4" s="602">
        <f>IF($H4=0,0,($H4*$B4))</f>
        <v>3450</v>
      </c>
    </row>
    <row r="5" spans="1:9">
      <c r="A5" s="602" t="str">
        <f>Application!$B696</f>
        <v>1 Bedroom</v>
      </c>
      <c r="B5" s="942">
        <f>Application!$G696</f>
        <v>9</v>
      </c>
      <c r="C5" s="602">
        <f>Application!$O696</f>
        <v>723</v>
      </c>
      <c r="D5" s="603"/>
      <c r="E5" s="941"/>
      <c r="F5" s="602">
        <f t="shared" ref="F5:F38" si="0">$E5*$B5</f>
        <v>0</v>
      </c>
      <c r="G5" s="603"/>
      <c r="H5" s="602">
        <f t="shared" ref="H5:H38" si="1">IF($E5=0,0,MAX($E5-$C5,0))</f>
        <v>0</v>
      </c>
      <c r="I5" s="602">
        <f t="shared" ref="I5:I38" si="2">IF($H5=0,0,($H5*$B5))</f>
        <v>0</v>
      </c>
    </row>
    <row r="6" spans="1:9">
      <c r="A6" s="602" t="str">
        <f>Application!$B697</f>
        <v>1 Bedroom</v>
      </c>
      <c r="B6" s="942">
        <f>Application!$G697</f>
        <v>10</v>
      </c>
      <c r="C6" s="602">
        <f>Application!$O697</f>
        <v>893</v>
      </c>
      <c r="D6" s="603"/>
      <c r="E6" s="941"/>
      <c r="F6" s="602">
        <f t="shared" si="0"/>
        <v>0</v>
      </c>
      <c r="G6" s="603"/>
      <c r="H6" s="602">
        <f t="shared" si="1"/>
        <v>0</v>
      </c>
      <c r="I6" s="602">
        <f t="shared" si="2"/>
        <v>0</v>
      </c>
    </row>
    <row r="7" spans="1:9">
      <c r="A7" s="602">
        <f>Application!$B698</f>
        <v>0</v>
      </c>
      <c r="B7" s="942">
        <f>Application!$G698</f>
        <v>0</v>
      </c>
      <c r="C7" s="602">
        <f>Application!$O698</f>
        <v>0</v>
      </c>
      <c r="D7" s="603"/>
      <c r="E7" s="941"/>
      <c r="F7" s="602">
        <f t="shared" si="0"/>
        <v>0</v>
      </c>
      <c r="G7" s="603"/>
      <c r="H7" s="602">
        <f t="shared" si="1"/>
        <v>0</v>
      </c>
      <c r="I7" s="602">
        <f t="shared" si="2"/>
        <v>0</v>
      </c>
    </row>
    <row r="8" spans="1:9">
      <c r="A8" s="602" t="str">
        <f>Application!$B699</f>
        <v>2 Bedrooms</v>
      </c>
      <c r="B8" s="942">
        <f>Application!$G699</f>
        <v>5</v>
      </c>
      <c r="C8" s="602">
        <f>Application!$O699</f>
        <v>447.6</v>
      </c>
      <c r="D8" s="603"/>
      <c r="E8" s="941">
        <f>1570-Application!U811</f>
        <v>1405</v>
      </c>
      <c r="F8" s="602">
        <f t="shared" si="0"/>
        <v>7025</v>
      </c>
      <c r="G8" s="603"/>
      <c r="H8" s="602">
        <f t="shared" si="1"/>
        <v>957.4</v>
      </c>
      <c r="I8" s="602">
        <f t="shared" si="2"/>
        <v>4787</v>
      </c>
    </row>
    <row r="9" spans="1:9">
      <c r="A9" s="602" t="str">
        <f>Application!$B700</f>
        <v>2 Bedrooms</v>
      </c>
      <c r="B9" s="942">
        <f>Application!$G700</f>
        <v>6</v>
      </c>
      <c r="C9" s="602">
        <f>Application!$O700</f>
        <v>856</v>
      </c>
      <c r="D9" s="603"/>
      <c r="E9" s="941">
        <f>1570-Application!U811</f>
        <v>1405</v>
      </c>
      <c r="F9" s="602">
        <f t="shared" si="0"/>
        <v>8430</v>
      </c>
      <c r="G9" s="603"/>
      <c r="H9" s="602">
        <f t="shared" si="1"/>
        <v>549</v>
      </c>
      <c r="I9" s="602">
        <f t="shared" si="2"/>
        <v>3294</v>
      </c>
    </row>
    <row r="10" spans="1:9">
      <c r="A10" s="602" t="str">
        <f>Application!$B701</f>
        <v>2 Bedrooms</v>
      </c>
      <c r="B10" s="942">
        <f>Application!$G701</f>
        <v>7</v>
      </c>
      <c r="C10" s="602">
        <f>Application!$O701</f>
        <v>856</v>
      </c>
      <c r="D10" s="603"/>
      <c r="E10" s="941"/>
      <c r="F10" s="602">
        <f t="shared" si="0"/>
        <v>0</v>
      </c>
      <c r="G10" s="603"/>
      <c r="H10" s="602">
        <f t="shared" si="1"/>
        <v>0</v>
      </c>
      <c r="I10" s="602">
        <f t="shared" si="2"/>
        <v>0</v>
      </c>
    </row>
    <row r="11" spans="1:9">
      <c r="A11" s="602" t="str">
        <f>Application!$B702</f>
        <v>2 Bedrooms</v>
      </c>
      <c r="B11" s="942">
        <f>Application!$G702</f>
        <v>11</v>
      </c>
      <c r="C11" s="602">
        <f>Application!$O702</f>
        <v>1060.2</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t="str">
        <f>Application!$B704</f>
        <v>3 Bedrooms</v>
      </c>
      <c r="B13" s="942">
        <f>Application!$G704</f>
        <v>5</v>
      </c>
      <c r="C13" s="602">
        <f>Application!$O704</f>
        <v>516.4</v>
      </c>
      <c r="D13" s="603"/>
      <c r="E13" s="941">
        <f>2213-Application!Y811</f>
        <v>2022</v>
      </c>
      <c r="F13" s="602">
        <f t="shared" si="0"/>
        <v>10110</v>
      </c>
      <c r="G13" s="603"/>
      <c r="H13" s="602">
        <f t="shared" si="1"/>
        <v>1505.6</v>
      </c>
      <c r="I13" s="602">
        <f t="shared" si="2"/>
        <v>7528</v>
      </c>
    </row>
    <row r="14" spans="1:9">
      <c r="A14" s="602" t="str">
        <f>Application!$B705</f>
        <v>3 Bedrooms</v>
      </c>
      <c r="B14" s="942">
        <f>Application!$G705</f>
        <v>4</v>
      </c>
      <c r="C14" s="602">
        <f>Application!$O705</f>
        <v>988</v>
      </c>
      <c r="D14" s="603"/>
      <c r="E14" s="941">
        <f>2213-Application!Y811</f>
        <v>2022</v>
      </c>
      <c r="F14" s="602">
        <f t="shared" si="0"/>
        <v>8088</v>
      </c>
      <c r="G14" s="603"/>
      <c r="H14" s="602">
        <f t="shared" si="1"/>
        <v>1034</v>
      </c>
      <c r="I14" s="602">
        <f t="shared" si="2"/>
        <v>4136</v>
      </c>
    </row>
    <row r="15" spans="1:9">
      <c r="A15" s="602" t="str">
        <f>Application!$B706</f>
        <v>3 Bedrooms</v>
      </c>
      <c r="B15" s="942">
        <f>Application!$G706</f>
        <v>3</v>
      </c>
      <c r="C15" s="602">
        <f>Application!$O706</f>
        <v>988</v>
      </c>
      <c r="D15" s="603"/>
      <c r="E15" s="941"/>
      <c r="F15" s="602">
        <f t="shared" si="0"/>
        <v>0</v>
      </c>
      <c r="G15" s="603"/>
      <c r="H15" s="602">
        <f t="shared" si="1"/>
        <v>0</v>
      </c>
      <c r="I15" s="602">
        <f t="shared" si="2"/>
        <v>0</v>
      </c>
    </row>
    <row r="16" spans="1:9">
      <c r="A16" s="602" t="str">
        <f>Application!$B707</f>
        <v>3 Bedrooms</v>
      </c>
      <c r="B16" s="942">
        <f>Application!$G707</f>
        <v>6</v>
      </c>
      <c r="C16" s="602">
        <f>Application!$O707</f>
        <v>1223.8</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710652</v>
      </c>
      <c r="D40" s="603"/>
      <c r="E40" s="603"/>
      <c r="F40" s="606">
        <f>SUM(F4:F38)*12</f>
        <v>468216</v>
      </c>
      <c r="G40" s="607"/>
      <c r="H40" s="605"/>
      <c r="I40" s="606">
        <f>SUM(I4:I38)*12</f>
        <v>278340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D36" sqref="D36"/>
    </sheetView>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AL32" sqref="AL3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9" t="s">
        <v>1100</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7" t="s">
        <v>1606</v>
      </c>
      <c r="U7" s="1597"/>
      <c r="V7" s="1597"/>
      <c r="W7" s="1597"/>
      <c r="X7" s="1597"/>
      <c r="Y7" s="1597" t="s">
        <v>1748</v>
      </c>
      <c r="Z7" s="1597"/>
      <c r="AA7" s="1597"/>
      <c r="AB7" s="1597"/>
      <c r="AC7" s="1597"/>
      <c r="AD7" s="1597" t="s">
        <v>1360</v>
      </c>
      <c r="AE7" s="1597"/>
      <c r="AF7" s="1597"/>
      <c r="AG7" s="1597"/>
      <c r="AH7" s="1597"/>
      <c r="AI7" s="1597" t="s">
        <v>1749</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38228848.879999995</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1712</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 customHeight="1">
      <c r="B14" s="8"/>
      <c r="C14" s="1624" t="s">
        <v>768</v>
      </c>
      <c r="D14" s="1624"/>
      <c r="E14" s="1624"/>
      <c r="F14" s="1624"/>
      <c r="G14" s="1624"/>
      <c r="H14" s="1624"/>
      <c r="I14" s="1624"/>
      <c r="J14" s="1624"/>
      <c r="K14" s="1624"/>
      <c r="L14" s="1624"/>
      <c r="M14" s="1624"/>
      <c r="N14" s="1624"/>
      <c r="O14" s="1624"/>
      <c r="P14" s="1624"/>
      <c r="Q14" s="1624"/>
      <c r="R14" s="1624"/>
      <c r="S14" s="1625"/>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 customHeight="1">
      <c r="B15" s="8"/>
      <c r="C15" s="1624" t="s">
        <v>769</v>
      </c>
      <c r="D15" s="1624"/>
      <c r="E15" s="1624"/>
      <c r="F15" s="1624"/>
      <c r="G15" s="1624"/>
      <c r="H15" s="1624"/>
      <c r="I15" s="1624"/>
      <c r="J15" s="1624"/>
      <c r="K15" s="1624"/>
      <c r="L15" s="1624"/>
      <c r="M15" s="1624"/>
      <c r="N15" s="1624"/>
      <c r="O15" s="1624"/>
      <c r="P15" s="1624"/>
      <c r="Q15" s="1624"/>
      <c r="R15" s="1624"/>
      <c r="S15" s="1625"/>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 customHeight="1">
      <c r="B16" s="8"/>
      <c r="C16" s="1623" t="s">
        <v>1012</v>
      </c>
      <c r="D16" s="1623"/>
      <c r="E16" s="1623"/>
      <c r="F16" s="1623"/>
      <c r="G16" s="1623"/>
      <c r="H16" s="1623"/>
      <c r="I16" s="1623"/>
      <c r="J16" s="1623"/>
      <c r="K16" s="1623"/>
      <c r="L16" s="1623"/>
      <c r="M16" s="1623"/>
      <c r="N16" s="1623"/>
      <c r="O16" s="1623"/>
      <c r="P16" s="1623"/>
      <c r="Q16" s="1623"/>
      <c r="R16" s="1623"/>
      <c r="S16" s="1626"/>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 customHeight="1">
      <c r="B17" s="8"/>
      <c r="C17" s="1624" t="s">
        <v>770</v>
      </c>
      <c r="D17" s="1624"/>
      <c r="E17" s="1624"/>
      <c r="F17" s="1624"/>
      <c r="G17" s="1624"/>
      <c r="H17" s="1624"/>
      <c r="I17" s="1624"/>
      <c r="J17" s="1624"/>
      <c r="K17" s="1624"/>
      <c r="L17" s="1624"/>
      <c r="M17" s="1624"/>
      <c r="N17" s="1624"/>
      <c r="O17" s="1624"/>
      <c r="P17" s="1624"/>
      <c r="Q17" s="1624"/>
      <c r="R17" s="1624"/>
      <c r="S17" s="1625"/>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 customHeight="1">
      <c r="B18" s="593"/>
      <c r="C18" s="1623" t="s">
        <v>1364</v>
      </c>
      <c r="D18" s="1624"/>
      <c r="E18" s="1624"/>
      <c r="F18" s="1624"/>
      <c r="G18" s="1624"/>
      <c r="H18" s="1624"/>
      <c r="I18" s="1624"/>
      <c r="J18" s="1624"/>
      <c r="K18" s="1624"/>
      <c r="L18" s="1624"/>
      <c r="M18" s="1624"/>
      <c r="N18" s="1624"/>
      <c r="O18" s="1624"/>
      <c r="P18" s="1624"/>
      <c r="Q18" s="1624"/>
      <c r="R18" s="1624"/>
      <c r="S18" s="1625"/>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3"/>
      <c r="V20" s="1293"/>
      <c r="W20" s="1293"/>
      <c r="X20" s="1293"/>
      <c r="Y20" s="1594">
        <f>SUM(Y13:AC19)</f>
        <v>0</v>
      </c>
      <c r="Z20" s="1293"/>
      <c r="AA20" s="1293"/>
      <c r="AB20" s="1293"/>
      <c r="AC20" s="1293"/>
      <c r="AD20" s="1293">
        <f>SUM(AD13:AH19)</f>
        <v>0</v>
      </c>
      <c r="AE20" s="1293"/>
      <c r="AF20" s="1293"/>
      <c r="AG20" s="1293"/>
      <c r="AH20" s="1293"/>
      <c r="AI20" s="1293">
        <f>SUM(AI13:AM19)</f>
        <v>0</v>
      </c>
      <c r="AJ20" s="1293"/>
      <c r="AK20" s="1293"/>
      <c r="AL20" s="1293"/>
      <c r="AM20" s="1293"/>
    </row>
    <row r="21" spans="1:39" ht="12.9"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10440000</v>
      </c>
      <c r="AJ21" s="1180"/>
      <c r="AK21" s="1180"/>
      <c r="AL21" s="1180"/>
      <c r="AM21" s="1180"/>
    </row>
    <row r="22" spans="1:39" ht="12.9" customHeight="1">
      <c r="B22" s="1102" t="s">
        <v>772</v>
      </c>
      <c r="C22" s="1103"/>
      <c r="D22" s="1103"/>
      <c r="E22" s="1103"/>
      <c r="F22" s="1103"/>
      <c r="G22" s="1103"/>
      <c r="H22" s="1103"/>
      <c r="I22" s="1103"/>
      <c r="J22" s="1103"/>
      <c r="K22" s="1103"/>
      <c r="L22" s="1103"/>
      <c r="M22" s="1103"/>
      <c r="N22" s="1103"/>
      <c r="O22" s="1103"/>
      <c r="P22" s="1103"/>
      <c r="Q22" s="1103"/>
      <c r="R22" s="1103"/>
      <c r="S22" s="1105"/>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-10440000</v>
      </c>
      <c r="AJ22" s="1629"/>
      <c r="AK22" s="1629"/>
      <c r="AL22" s="1629"/>
      <c r="AM22" s="1629"/>
    </row>
    <row r="23" spans="1:39" ht="12.9" customHeight="1">
      <c r="B23" s="1102" t="s">
        <v>773</v>
      </c>
      <c r="C23" s="1103"/>
      <c r="D23" s="1103"/>
      <c r="E23" s="1103"/>
      <c r="F23" s="1103"/>
      <c r="G23" s="1103"/>
      <c r="H23" s="1103"/>
      <c r="I23" s="1103"/>
      <c r="J23" s="1103"/>
      <c r="K23" s="1103"/>
      <c r="L23" s="1103"/>
      <c r="M23" s="1103"/>
      <c r="N23" s="1103"/>
      <c r="O23" s="1103"/>
      <c r="P23" s="1103"/>
      <c r="Q23" s="1103"/>
      <c r="R23" s="1103"/>
      <c r="S23" s="1105"/>
      <c r="T23" s="1594">
        <f>T11+T22</f>
        <v>38228848.879999995</v>
      </c>
      <c r="U23" s="1293"/>
      <c r="V23" s="1293"/>
      <c r="W23" s="1293"/>
      <c r="X23" s="1293"/>
      <c r="Y23" s="1594">
        <f>Y11+Y22</f>
        <v>0</v>
      </c>
      <c r="Z23" s="1293"/>
      <c r="AA23" s="1293"/>
      <c r="AB23" s="1293"/>
      <c r="AC23" s="1293"/>
      <c r="AD23" s="1594">
        <f>AD11+AD22</f>
        <v>0</v>
      </c>
      <c r="AE23" s="1293"/>
      <c r="AF23" s="1293"/>
      <c r="AG23" s="1293"/>
      <c r="AH23" s="1293"/>
      <c r="AI23" s="1594">
        <f>AI11+AI22</f>
        <v>-10440000</v>
      </c>
      <c r="AJ23" s="1293"/>
      <c r="AK23" s="1293"/>
      <c r="AL23" s="1293"/>
      <c r="AM23" s="1293"/>
    </row>
    <row r="24" spans="1:39" ht="12.9"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1747</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4"/>
      <c r="Y25" s="1630">
        <v>1</v>
      </c>
      <c r="Z25" s="1631"/>
      <c r="AA25" s="1631"/>
      <c r="AB25" s="1631"/>
      <c r="AC25" s="1634"/>
      <c r="AD25" s="1630">
        <v>1</v>
      </c>
      <c r="AE25" s="1631"/>
      <c r="AF25" s="1631"/>
      <c r="AG25" s="1631"/>
      <c r="AH25" s="1634"/>
      <c r="AI25" s="1630">
        <v>1</v>
      </c>
      <c r="AJ25" s="1631"/>
      <c r="AK25" s="1631"/>
      <c r="AL25" s="1631"/>
      <c r="AM25" s="1634"/>
    </row>
    <row r="26" spans="1:39" ht="12.9"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38228848.879999995</v>
      </c>
      <c r="U26" s="1606"/>
      <c r="V26" s="1606"/>
      <c r="W26" s="1606"/>
      <c r="X26" s="1606"/>
      <c r="Y26" s="1093">
        <f>Y23*Y25</f>
        <v>0</v>
      </c>
      <c r="Z26" s="1606"/>
      <c r="AA26" s="1606"/>
      <c r="AB26" s="1606"/>
      <c r="AC26" s="1606"/>
      <c r="AD26" s="1093">
        <f>AD23*AD25</f>
        <v>0</v>
      </c>
      <c r="AE26" s="1606"/>
      <c r="AF26" s="1606"/>
      <c r="AG26" s="1606"/>
      <c r="AH26" s="1606"/>
      <c r="AI26" s="1093">
        <f>AI23*AI25</f>
        <v>-10440000</v>
      </c>
      <c r="AJ26" s="1606"/>
      <c r="AK26" s="1606"/>
      <c r="AL26" s="1606"/>
      <c r="AM26" s="1606"/>
    </row>
    <row r="27" spans="1:39" ht="12.9"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38228848.879999995</v>
      </c>
      <c r="U28" s="1606"/>
      <c r="V28" s="1606"/>
      <c r="W28" s="1606"/>
      <c r="X28" s="1606"/>
      <c r="Y28" s="1093">
        <f>IF(ISERROR((Y26*Y27)),0,(Y26*Y27))</f>
        <v>0</v>
      </c>
      <c r="Z28" s="1606"/>
      <c r="AA28" s="1606"/>
      <c r="AB28" s="1606"/>
      <c r="AC28" s="1606"/>
      <c r="AD28" s="1093">
        <f>IF(ISERROR((AD26*AD27)),0,(AD26*AD27))</f>
        <v>0</v>
      </c>
      <c r="AE28" s="1606"/>
      <c r="AF28" s="1606"/>
      <c r="AG28" s="1606"/>
      <c r="AH28" s="1606"/>
      <c r="AI28" s="1093">
        <f>IF(ISERROR((AI26*AI27)),0,(AI26*AI27))</f>
        <v>-10440000</v>
      </c>
      <c r="AJ28" s="1606"/>
      <c r="AK28" s="1606"/>
      <c r="AL28" s="1606"/>
      <c r="AM28" s="1606"/>
    </row>
    <row r="29" spans="1:39" ht="12.9"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27788848.879999995</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0" ht="12.9" customHeight="1">
      <c r="B36" s="204"/>
      <c r="X36" s="71"/>
      <c r="Y36" s="1597"/>
      <c r="Z36" s="1597"/>
      <c r="AA36" s="1597"/>
      <c r="AB36" s="1597"/>
      <c r="AC36" s="1597"/>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0" ht="12.9"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3">
        <f>IF(T24&gt;=(T23+Y23+AD23+AI23),T28+Y28,0)</f>
        <v>0</v>
      </c>
      <c r="Z38" s="1293"/>
      <c r="AA38" s="1293"/>
      <c r="AB38" s="1293"/>
      <c r="AC38" s="1293"/>
      <c r="AD38" s="1293">
        <f>IF(T24&gt;=(T23+Y23+AD23+AI23),AD28+AI28,0)</f>
        <v>0</v>
      </c>
      <c r="AE38" s="1293"/>
      <c r="AF38" s="1293"/>
      <c r="AG38" s="1293"/>
      <c r="AH38" s="1293"/>
    </row>
    <row r="39" spans="1:40" ht="12.9"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1">
        <v>0.09</v>
      </c>
      <c r="Z39" s="1961"/>
      <c r="AA39" s="1961"/>
      <c r="AB39" s="1961"/>
      <c r="AC39" s="1961"/>
      <c r="AD39" s="1593">
        <v>0.04</v>
      </c>
      <c r="AE39" s="1593"/>
      <c r="AF39" s="1593"/>
      <c r="AG39" s="1593"/>
      <c r="AH39" s="1593"/>
    </row>
    <row r="40" spans="1:40"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3">
        <f>ROUND(Y38*Y39,0)</f>
        <v>0</v>
      </c>
      <c r="Z40" s="1293"/>
      <c r="AA40" s="1293"/>
      <c r="AB40" s="1293"/>
      <c r="AC40" s="1293"/>
      <c r="AD40" s="1594">
        <f>ROUND(AD38*AD39,0)</f>
        <v>0</v>
      </c>
      <c r="AE40" s="1293"/>
      <c r="AF40" s="1293"/>
      <c r="AG40" s="1293"/>
      <c r="AH40" s="1293"/>
    </row>
    <row r="41" spans="1:40" ht="12.9"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IF((Y40+AD40)&gt;2500000,2500000,Y40+AD40)</f>
        <v>0</v>
      </c>
      <c r="Z41" s="1596"/>
      <c r="AA41" s="1596"/>
      <c r="AB41" s="1596"/>
      <c r="AC41" s="1596"/>
      <c r="AD41" s="1596"/>
      <c r="AE41" s="1596"/>
      <c r="AF41" s="1596"/>
      <c r="AG41" s="1596"/>
      <c r="AH41" s="1594"/>
    </row>
    <row r="42" spans="1:40" ht="12.9"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6">
        <f>'Sources and Uses Budget'!B104-'Sources and Uses Budget'!$B$15</f>
        <v>43288682.519999996</v>
      </c>
      <c r="AC46" s="1227"/>
      <c r="AD46" s="1227"/>
      <c r="AE46" s="1227"/>
      <c r="AF46" s="1228"/>
    </row>
    <row r="47" spans="1:40" ht="12.9" customHeight="1">
      <c r="D47" s="3" t="s">
        <v>837</v>
      </c>
      <c r="AB47" s="1226">
        <f>Application!AG633-MIN('Sources and Uses Budget'!B15,Application!AG385)</f>
        <v>0</v>
      </c>
      <c r="AC47" s="1227"/>
      <c r="AD47" s="1227"/>
      <c r="AE47" s="1227"/>
      <c r="AF47" s="1228"/>
    </row>
    <row r="48" spans="1:40" ht="12.9" customHeight="1">
      <c r="D48" s="3" t="s">
        <v>378</v>
      </c>
      <c r="AB48" s="1226">
        <f>AB46-AB47</f>
        <v>43288682.519999996</v>
      </c>
      <c r="AC48" s="1227"/>
      <c r="AD48" s="1227"/>
      <c r="AE48" s="1227"/>
      <c r="AF48" s="1228"/>
    </row>
    <row r="49" spans="1:40" ht="12.9" customHeight="1">
      <c r="D49" s="3" t="s">
        <v>872</v>
      </c>
      <c r="AA49" s="34"/>
      <c r="AB49" s="1600"/>
      <c r="AC49" s="1601"/>
      <c r="AD49" s="1601"/>
      <c r="AE49" s="1601"/>
      <c r="AF49" s="1602"/>
    </row>
    <row r="50" spans="1:40" s="323" customFormat="1" ht="12.9"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0</v>
      </c>
      <c r="AC53" s="1227"/>
      <c r="AD53" s="1227"/>
      <c r="AE53" s="1227"/>
      <c r="AF53" s="1228"/>
    </row>
    <row r="54" spans="1:40" ht="12.9" customHeight="1">
      <c r="D54" s="3" t="s">
        <v>561</v>
      </c>
      <c r="AB54" s="1226">
        <f>(AB53/10)</f>
        <v>0</v>
      </c>
      <c r="AC54" s="1227"/>
      <c r="AD54" s="1227"/>
      <c r="AE54" s="1227"/>
      <c r="AF54" s="1228"/>
    </row>
    <row r="55" spans="1:40" ht="12.9" customHeight="1">
      <c r="D55" s="3" t="s">
        <v>341</v>
      </c>
      <c r="AB55" s="1226">
        <f>(IF((Y41&lt;AB54),Y41,AB54))</f>
        <v>0</v>
      </c>
      <c r="AC55" s="1227"/>
      <c r="AD55" s="1227"/>
      <c r="AE55" s="1227"/>
      <c r="AF55" s="1228"/>
    </row>
    <row r="56" spans="1:40" ht="12.9" customHeight="1">
      <c r="D56" s="3" t="s">
        <v>107</v>
      </c>
      <c r="AB56" s="1226">
        <f>ROUND((10*AB55*AB49),0)</f>
        <v>0</v>
      </c>
      <c r="AC56" s="1227"/>
      <c r="AD56" s="1227"/>
      <c r="AE56" s="1227"/>
      <c r="AF56" s="1228"/>
    </row>
    <row r="57" spans="1:40" ht="12.9" customHeight="1">
      <c r="D57" s="3"/>
      <c r="AB57" s="276"/>
      <c r="AC57" s="276"/>
      <c r="AD57" s="276"/>
      <c r="AE57" s="276"/>
      <c r="AF57" s="276"/>
    </row>
    <row r="58" spans="1:40" ht="12.9" customHeight="1">
      <c r="D58" s="3" t="s">
        <v>106</v>
      </c>
      <c r="AB58" s="1297">
        <f>AB48-AB56</f>
        <v>43288682.519999996</v>
      </c>
      <c r="AC58" s="1297"/>
      <c r="AD58" s="1297"/>
      <c r="AE58" s="1297"/>
      <c r="AF58" s="129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3">
        <f>Y28</f>
        <v>0</v>
      </c>
      <c r="Z63" s="1603"/>
      <c r="AA63" s="1603"/>
      <c r="AB63" s="1603"/>
      <c r="AC63" s="1603"/>
      <c r="AD63" s="1293">
        <f>AI28</f>
        <v>-10440000</v>
      </c>
      <c r="AE63" s="1603"/>
      <c r="AF63" s="1603"/>
      <c r="AG63" s="1603"/>
      <c r="AH63" s="1603"/>
    </row>
    <row r="64" spans="1:40" ht="12.9"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 customHeight="1">
      <c r="C67" s="3"/>
      <c r="D67" s="3" t="s">
        <v>941</v>
      </c>
      <c r="Y67" s="1293">
        <f>ROUND(Y63*Y66,0)</f>
        <v>0</v>
      </c>
      <c r="Z67" s="1603"/>
      <c r="AA67" s="1603"/>
      <c r="AB67" s="1603"/>
      <c r="AC67" s="1603"/>
      <c r="AD67" s="1293" t="str">
        <f>IF(OR(Application!D211="At-Risk",Application!D211="At-Risk/Located in Rural Census Tract",Application!D214="At-Risk"),ROUND(AD63*AD66,0),"$0")</f>
        <v>$0</v>
      </c>
      <c r="AE67" s="1293"/>
      <c r="AF67" s="1293"/>
      <c r="AG67" s="1293"/>
      <c r="AH67" s="1293"/>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0"/>
      <c r="AC70" s="1601"/>
      <c r="AD70" s="1601"/>
      <c r="AE70" s="1601"/>
      <c r="AF70" s="1602"/>
    </row>
    <row r="71" spans="1:34" ht="12.9" customHeight="1">
      <c r="A71" s="3"/>
      <c r="C71" s="3"/>
      <c r="D71" s="3"/>
      <c r="E71" s="1604" t="s">
        <v>1745</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4">
        <f>ROUND(IF(ISERROR((AB58/AB70)),0,(AB58/AB70)),0)</f>
        <v>0</v>
      </c>
      <c r="AC75" s="1274"/>
      <c r="AD75" s="1274"/>
      <c r="AE75" s="1274"/>
      <c r="AF75" s="1274"/>
    </row>
    <row r="76" spans="1:34" ht="12.9" customHeight="1">
      <c r="C76" s="3"/>
      <c r="D76" s="3" t="s">
        <v>105</v>
      </c>
      <c r="AB76" s="1175">
        <f>IF((Y67+AD67&lt;AB75),Y67+AD67,AB75)</f>
        <v>0</v>
      </c>
      <c r="AC76" s="1176"/>
      <c r="AD76" s="1176"/>
      <c r="AE76" s="1176"/>
      <c r="AF76" s="1177"/>
    </row>
    <row r="77" spans="1:34" ht="12.9" customHeight="1">
      <c r="C77" s="3"/>
      <c r="D77" s="3" t="s">
        <v>942</v>
      </c>
      <c r="AB77" s="1598">
        <f>AB76*AB70</f>
        <v>0</v>
      </c>
      <c r="AC77" s="1598"/>
      <c r="AD77" s="1598"/>
      <c r="AE77" s="1598"/>
      <c r="AF77" s="1598"/>
    </row>
    <row r="78" spans="1:34" ht="12.9" customHeight="1">
      <c r="C78" s="3"/>
      <c r="D78" s="3"/>
      <c r="AB78" s="598"/>
      <c r="AC78" s="598"/>
      <c r="AD78" s="598"/>
      <c r="AE78" s="598"/>
      <c r="AF78" s="598"/>
    </row>
    <row r="79" spans="1:34" ht="12.9" customHeight="1">
      <c r="D79" s="3" t="s">
        <v>106</v>
      </c>
      <c r="AB79" s="1297">
        <f>AB48-(AB56+AB77)</f>
        <v>43288682.519999996</v>
      </c>
      <c r="AC79" s="1297"/>
      <c r="AD79" s="1297"/>
      <c r="AE79" s="1297"/>
      <c r="AF79" s="1297"/>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9" t="s">
        <v>1354</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7" t="s">
        <v>1606</v>
      </c>
      <c r="U7" s="1597"/>
      <c r="V7" s="1597"/>
      <c r="W7" s="1597"/>
      <c r="X7" s="1597"/>
      <c r="Y7" s="1597" t="s">
        <v>1748</v>
      </c>
      <c r="Z7" s="1597"/>
      <c r="AA7" s="1597"/>
      <c r="AB7" s="1597"/>
      <c r="AC7" s="1597"/>
      <c r="AD7" s="1597" t="s">
        <v>1360</v>
      </c>
      <c r="AE7" s="1597"/>
      <c r="AF7" s="1597"/>
      <c r="AG7" s="1597"/>
      <c r="AH7" s="1597"/>
      <c r="AI7" s="1597" t="s">
        <v>1749</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38228848.879999995</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1712</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 customHeight="1">
      <c r="B14" s="8"/>
      <c r="C14" s="1624" t="s">
        <v>768</v>
      </c>
      <c r="D14" s="1624"/>
      <c r="E14" s="1624"/>
      <c r="F14" s="1624"/>
      <c r="G14" s="1624"/>
      <c r="H14" s="1624"/>
      <c r="I14" s="1624"/>
      <c r="J14" s="1624"/>
      <c r="K14" s="1624"/>
      <c r="L14" s="1624"/>
      <c r="M14" s="1624"/>
      <c r="N14" s="1624"/>
      <c r="O14" s="1624"/>
      <c r="P14" s="1624"/>
      <c r="Q14" s="1624"/>
      <c r="R14" s="1624"/>
      <c r="S14" s="1625"/>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 customHeight="1">
      <c r="B15" s="8"/>
      <c r="C15" s="1624" t="s">
        <v>769</v>
      </c>
      <c r="D15" s="1624"/>
      <c r="E15" s="1624"/>
      <c r="F15" s="1624"/>
      <c r="G15" s="1624"/>
      <c r="H15" s="1624"/>
      <c r="I15" s="1624"/>
      <c r="J15" s="1624"/>
      <c r="K15" s="1624"/>
      <c r="L15" s="1624"/>
      <c r="M15" s="1624"/>
      <c r="N15" s="1624"/>
      <c r="O15" s="1624"/>
      <c r="P15" s="1624"/>
      <c r="Q15" s="1624"/>
      <c r="R15" s="1624"/>
      <c r="S15" s="1625"/>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 customHeight="1">
      <c r="B16" s="8"/>
      <c r="C16" s="1623" t="s">
        <v>1012</v>
      </c>
      <c r="D16" s="1623"/>
      <c r="E16" s="1623"/>
      <c r="F16" s="1623"/>
      <c r="G16" s="1623"/>
      <c r="H16" s="1623"/>
      <c r="I16" s="1623"/>
      <c r="J16" s="1623"/>
      <c r="K16" s="1623"/>
      <c r="L16" s="1623"/>
      <c r="M16" s="1623"/>
      <c r="N16" s="1623"/>
      <c r="O16" s="1623"/>
      <c r="P16" s="1623"/>
      <c r="Q16" s="1623"/>
      <c r="R16" s="1623"/>
      <c r="S16" s="1626"/>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 customHeight="1">
      <c r="B17" s="8"/>
      <c r="C17" s="1624" t="s">
        <v>770</v>
      </c>
      <c r="D17" s="1624"/>
      <c r="E17" s="1624"/>
      <c r="F17" s="1624"/>
      <c r="G17" s="1624"/>
      <c r="H17" s="1624"/>
      <c r="I17" s="1624"/>
      <c r="J17" s="1624"/>
      <c r="K17" s="1624"/>
      <c r="L17" s="1624"/>
      <c r="M17" s="1624"/>
      <c r="N17" s="1624"/>
      <c r="O17" s="1624"/>
      <c r="P17" s="1624"/>
      <c r="Q17" s="1624"/>
      <c r="R17" s="1624"/>
      <c r="S17" s="1625"/>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 customHeight="1">
      <c r="B18" s="593"/>
      <c r="C18" s="1623" t="s">
        <v>1364</v>
      </c>
      <c r="D18" s="1624"/>
      <c r="E18" s="1624"/>
      <c r="F18" s="1624"/>
      <c r="G18" s="1624"/>
      <c r="H18" s="1624"/>
      <c r="I18" s="1624"/>
      <c r="J18" s="1624"/>
      <c r="K18" s="1624"/>
      <c r="L18" s="1624"/>
      <c r="M18" s="1624"/>
      <c r="N18" s="1624"/>
      <c r="O18" s="1624"/>
      <c r="P18" s="1624"/>
      <c r="Q18" s="1624"/>
      <c r="R18" s="1624"/>
      <c r="S18" s="1625"/>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3"/>
      <c r="V20" s="1293"/>
      <c r="W20" s="1293"/>
      <c r="X20" s="1293"/>
      <c r="Y20" s="1594">
        <f>SUM(Y13:AC19)</f>
        <v>0</v>
      </c>
      <c r="Z20" s="1293"/>
      <c r="AA20" s="1293"/>
      <c r="AB20" s="1293"/>
      <c r="AC20" s="1293"/>
      <c r="AD20" s="1293">
        <f>SUM(AD13:AH19)</f>
        <v>0</v>
      </c>
      <c r="AE20" s="1293"/>
      <c r="AF20" s="1293"/>
      <c r="AG20" s="1293"/>
      <c r="AH20" s="1293"/>
      <c r="AI20" s="1293">
        <f>SUM(AI13:AM19)</f>
        <v>0</v>
      </c>
      <c r="AJ20" s="1293"/>
      <c r="AK20" s="1293"/>
      <c r="AL20" s="1293"/>
      <c r="AM20" s="1293"/>
    </row>
    <row r="21" spans="1:39" ht="12.9"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Credits'!T21</f>
        <v>10440000</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 customHeight="1">
      <c r="B22" s="1102" t="s">
        <v>772</v>
      </c>
      <c r="C22" s="1103"/>
      <c r="D22" s="1103"/>
      <c r="E22" s="1103"/>
      <c r="F22" s="1103"/>
      <c r="G22" s="1103"/>
      <c r="H22" s="1103"/>
      <c r="I22" s="1103"/>
      <c r="J22" s="1103"/>
      <c r="K22" s="1103"/>
      <c r="L22" s="1103"/>
      <c r="M22" s="1103"/>
      <c r="N22" s="1103"/>
      <c r="O22" s="1103"/>
      <c r="P22" s="1103"/>
      <c r="Q22" s="1103"/>
      <c r="R22" s="1103"/>
      <c r="S22" s="1105"/>
      <c r="T22" s="1628">
        <f>(T20+T21)*-1</f>
        <v>-10440000</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2.9" customHeight="1">
      <c r="B23" s="1102" t="s">
        <v>773</v>
      </c>
      <c r="C23" s="1103"/>
      <c r="D23" s="1103"/>
      <c r="E23" s="1103"/>
      <c r="F23" s="1103"/>
      <c r="G23" s="1103"/>
      <c r="H23" s="1103"/>
      <c r="I23" s="1103"/>
      <c r="J23" s="1103"/>
      <c r="K23" s="1103"/>
      <c r="L23" s="1103"/>
      <c r="M23" s="1103"/>
      <c r="N23" s="1103"/>
      <c r="O23" s="1103"/>
      <c r="P23" s="1103"/>
      <c r="Q23" s="1103"/>
      <c r="R23" s="1103"/>
      <c r="S23" s="1105"/>
      <c r="T23" s="1594">
        <f>T11+T22</f>
        <v>27788848.879999995</v>
      </c>
      <c r="U23" s="1293"/>
      <c r="V23" s="1293"/>
      <c r="W23" s="1293"/>
      <c r="X23" s="1293"/>
      <c r="Y23" s="1594">
        <f>Y11+Y22</f>
        <v>0</v>
      </c>
      <c r="Z23" s="1293"/>
      <c r="AA23" s="1293"/>
      <c r="AB23" s="1293"/>
      <c r="AC23" s="1293"/>
      <c r="AD23" s="1594">
        <f>AD11+AD22</f>
        <v>0</v>
      </c>
      <c r="AE23" s="1293"/>
      <c r="AF23" s="1293"/>
      <c r="AG23" s="1293"/>
      <c r="AH23" s="1293"/>
      <c r="AI23" s="1594">
        <f>AI11+AI22</f>
        <v>0</v>
      </c>
      <c r="AJ23" s="1293"/>
      <c r="AK23" s="1293"/>
      <c r="AL23" s="1293"/>
      <c r="AM23" s="1293"/>
    </row>
    <row r="24" spans="1:39" ht="12.9"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1747</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27788848.879999995</v>
      </c>
      <c r="U26" s="1606"/>
      <c r="V26" s="1606"/>
      <c r="W26" s="1606"/>
      <c r="X26" s="1606"/>
      <c r="Y26" s="1093">
        <f>Y23*Y25</f>
        <v>0</v>
      </c>
      <c r="Z26" s="1606"/>
      <c r="AA26" s="1606"/>
      <c r="AB26" s="1606"/>
      <c r="AC26" s="1606"/>
      <c r="AD26" s="1093">
        <f>AD23*AD25</f>
        <v>0</v>
      </c>
      <c r="AE26" s="1606"/>
      <c r="AF26" s="1606"/>
      <c r="AG26" s="1606"/>
      <c r="AH26" s="1606"/>
      <c r="AI26" s="1093">
        <f>AI23*AI25</f>
        <v>0</v>
      </c>
      <c r="AJ26" s="1606"/>
      <c r="AK26" s="1606"/>
      <c r="AL26" s="1606"/>
      <c r="AM26" s="1606"/>
    </row>
    <row r="27" spans="1:39" ht="12.9"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27788848.879999995</v>
      </c>
      <c r="U28" s="1606"/>
      <c r="V28" s="1606"/>
      <c r="W28" s="1606"/>
      <c r="X28" s="1606"/>
      <c r="Y28" s="1093">
        <f>IF(ISERROR((Y26*Y27)),0,(Y26*Y27))</f>
        <v>0</v>
      </c>
      <c r="Z28" s="1606"/>
      <c r="AA28" s="1606"/>
      <c r="AB28" s="1606"/>
      <c r="AC28" s="1606"/>
      <c r="AD28" s="1093">
        <f>IF(ISERROR((AD26*AD27)),0,(AD26*AD27))</f>
        <v>0</v>
      </c>
      <c r="AE28" s="1606"/>
      <c r="AF28" s="1606"/>
      <c r="AG28" s="1606"/>
      <c r="AH28" s="1606"/>
      <c r="AI28" s="1093">
        <f>IF(ISERROR((AI26*AI27)),0,(AI26*AI27))</f>
        <v>0</v>
      </c>
      <c r="AJ28" s="1606"/>
      <c r="AK28" s="1606"/>
      <c r="AL28" s="1606"/>
      <c r="AM28" s="1606"/>
    </row>
    <row r="29" spans="1:39" ht="12.9"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27788848.879999995</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0" ht="12.9" customHeight="1">
      <c r="B36" s="204"/>
      <c r="X36" s="71"/>
      <c r="Y36" s="1597"/>
      <c r="Z36" s="1597"/>
      <c r="AA36" s="1597"/>
      <c r="AB36" s="1597"/>
      <c r="AC36" s="1597"/>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0" ht="12.9"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3">
        <f>IF(T24&gt;=(T23+Y23+AD23+AI23),T28+Y28,0)</f>
        <v>0</v>
      </c>
      <c r="Z38" s="1293"/>
      <c r="AA38" s="1293"/>
      <c r="AB38" s="1293"/>
      <c r="AC38" s="1293"/>
      <c r="AD38" s="1293">
        <f>IF(T24&gt;=(T23+Y23+AD23+AI23),AD28+AI28,0)</f>
        <v>0</v>
      </c>
      <c r="AE38" s="1293"/>
      <c r="AF38" s="1293"/>
      <c r="AG38" s="1293"/>
      <c r="AH38" s="1293"/>
    </row>
    <row r="39" spans="1:40" ht="12.9"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1">
        <v>0.09</v>
      </c>
      <c r="Z39" s="1961"/>
      <c r="AA39" s="1961"/>
      <c r="AB39" s="1961"/>
      <c r="AC39" s="1961"/>
      <c r="AD39" s="1961">
        <f>'Basis &amp; Credits'!AD39:AH39</f>
        <v>0.04</v>
      </c>
      <c r="AE39" s="1961"/>
      <c r="AF39" s="1961"/>
      <c r="AG39" s="1961"/>
      <c r="AH39" s="1961"/>
    </row>
    <row r="40" spans="1:40"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3">
        <f>ROUND(Y38*Y39,0)</f>
        <v>0</v>
      </c>
      <c r="Z40" s="1293"/>
      <c r="AA40" s="1293"/>
      <c r="AB40" s="1293"/>
      <c r="AC40" s="1293"/>
      <c r="AD40" s="1594">
        <f>ROUND(AD38*AD39,0)</f>
        <v>0</v>
      </c>
      <c r="AE40" s="1293"/>
      <c r="AF40" s="1293"/>
      <c r="AG40" s="1293"/>
      <c r="AH40" s="1293"/>
    </row>
    <row r="41" spans="1:40" ht="12.9"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IF((Y40+AD40)&gt;2500000,2500000,Y40+AD40)</f>
        <v>0</v>
      </c>
      <c r="Z41" s="1596"/>
      <c r="AA41" s="1596"/>
      <c r="AB41" s="1596"/>
      <c r="AC41" s="1596"/>
      <c r="AD41" s="1596"/>
      <c r="AE41" s="1596"/>
      <c r="AF41" s="1596"/>
      <c r="AG41" s="1596"/>
      <c r="AH41" s="1594"/>
    </row>
    <row r="42" spans="1:40" ht="12.9"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6">
        <f>'Sources and Uses Budget'!B104-'Sources and Uses Budget'!$B$15</f>
        <v>43288682.519999996</v>
      </c>
      <c r="AC46" s="1227"/>
      <c r="AD46" s="1227"/>
      <c r="AE46" s="1227"/>
      <c r="AF46" s="1228"/>
    </row>
    <row r="47" spans="1:40" ht="12.9" customHeight="1">
      <c r="D47" s="3" t="s">
        <v>837</v>
      </c>
      <c r="AB47" s="1226">
        <f>Application!AG633-MIN('Sources and Uses Budget'!B15,Application!AG385)</f>
        <v>0</v>
      </c>
      <c r="AC47" s="1227"/>
      <c r="AD47" s="1227"/>
      <c r="AE47" s="1227"/>
      <c r="AF47" s="1228"/>
    </row>
    <row r="48" spans="1:40" ht="12.9" customHeight="1">
      <c r="D48" s="3" t="s">
        <v>378</v>
      </c>
      <c r="AB48" s="1226">
        <f>AB46-AB47</f>
        <v>43288682.519999996</v>
      </c>
      <c r="AC48" s="1227"/>
      <c r="AD48" s="1227"/>
      <c r="AE48" s="1227"/>
      <c r="AF48" s="1228"/>
    </row>
    <row r="49" spans="1:40" ht="12.9" customHeight="1">
      <c r="D49" s="3" t="s">
        <v>872</v>
      </c>
      <c r="AA49" s="34"/>
      <c r="AB49" s="1600"/>
      <c r="AC49" s="1601"/>
      <c r="AD49" s="1601"/>
      <c r="AE49" s="1601"/>
      <c r="AF49" s="1602"/>
    </row>
    <row r="50" spans="1:40" s="323" customFormat="1" ht="12.9"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0</v>
      </c>
      <c r="AC53" s="1227"/>
      <c r="AD53" s="1227"/>
      <c r="AE53" s="1227"/>
      <c r="AF53" s="1228"/>
    </row>
    <row r="54" spans="1:40" ht="12.9" customHeight="1">
      <c r="D54" s="3" t="s">
        <v>561</v>
      </c>
      <c r="AB54" s="1226">
        <f>(AB53/10)</f>
        <v>0</v>
      </c>
      <c r="AC54" s="1227"/>
      <c r="AD54" s="1227"/>
      <c r="AE54" s="1227"/>
      <c r="AF54" s="1228"/>
    </row>
    <row r="55" spans="1:40" ht="12.9" customHeight="1">
      <c r="D55" s="3" t="s">
        <v>341</v>
      </c>
      <c r="AB55" s="1962">
        <f>(IF((Y41&lt;AB54),Y41,AB54))</f>
        <v>0</v>
      </c>
      <c r="AC55" s="1963"/>
      <c r="AD55" s="1963"/>
      <c r="AE55" s="1963"/>
      <c r="AF55" s="1964"/>
    </row>
    <row r="56" spans="1:40" ht="12.9" customHeight="1">
      <c r="D56" s="3" t="s">
        <v>107</v>
      </c>
      <c r="AB56" s="1226">
        <f>ROUND((10*AB55*AB49),0)</f>
        <v>0</v>
      </c>
      <c r="AC56" s="1227"/>
      <c r="AD56" s="1227"/>
      <c r="AE56" s="1227"/>
      <c r="AF56" s="1228"/>
    </row>
    <row r="57" spans="1:40" ht="12.9" customHeight="1">
      <c r="D57" s="3"/>
      <c r="AB57" s="276"/>
      <c r="AC57" s="276"/>
      <c r="AD57" s="276"/>
      <c r="AE57" s="276"/>
      <c r="AF57" s="276"/>
    </row>
    <row r="58" spans="1:40" ht="12.9" customHeight="1">
      <c r="D58" s="3" t="s">
        <v>106</v>
      </c>
      <c r="AB58" s="1297">
        <f>AB48-AB56</f>
        <v>43288682.519999996</v>
      </c>
      <c r="AC58" s="1297"/>
      <c r="AD58" s="1297"/>
      <c r="AE58" s="1297"/>
      <c r="AF58" s="129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3">
        <f>Y28</f>
        <v>0</v>
      </c>
      <c r="Z63" s="1603"/>
      <c r="AA63" s="1603"/>
      <c r="AB63" s="1603"/>
      <c r="AC63" s="1603"/>
      <c r="AD63" s="1293">
        <f>AI28</f>
        <v>0</v>
      </c>
      <c r="AE63" s="1603"/>
      <c r="AF63" s="1603"/>
      <c r="AG63" s="1603"/>
      <c r="AH63" s="1603"/>
    </row>
    <row r="64" spans="1:40" ht="12.9"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 customHeight="1">
      <c r="C67" s="3"/>
      <c r="D67" s="3" t="s">
        <v>941</v>
      </c>
      <c r="Y67" s="1293">
        <f>ROUND(Y63*Y66,0)</f>
        <v>0</v>
      </c>
      <c r="Z67" s="1603"/>
      <c r="AA67" s="1603"/>
      <c r="AB67" s="1603"/>
      <c r="AC67" s="1603"/>
      <c r="AD67" s="1293" t="str">
        <f>IF(OR(Application!D211="At-Risk",Application!D211="At-Risk/Located in Rural Census Tract",Application!D214="At-Risk"),ROUND(AD63*AD66,0),"$0")</f>
        <v>$0</v>
      </c>
      <c r="AE67" s="1293"/>
      <c r="AF67" s="1293"/>
      <c r="AG67" s="1293"/>
      <c r="AH67" s="1293"/>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0"/>
      <c r="AC70" s="1601"/>
      <c r="AD70" s="1601"/>
      <c r="AE70" s="1601"/>
      <c r="AF70" s="1602"/>
    </row>
    <row r="71" spans="1:34" ht="12.9" customHeight="1">
      <c r="A71" s="3"/>
      <c r="C71" s="3"/>
      <c r="D71" s="3"/>
      <c r="E71" s="1604" t="s">
        <v>1745</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4">
        <f>ROUND(IF(ISERROR((AB58/AB70)),0,(AB58/AB70)),0)</f>
        <v>0</v>
      </c>
      <c r="AC75" s="1274"/>
      <c r="AD75" s="1274"/>
      <c r="AE75" s="1274"/>
      <c r="AF75" s="1274"/>
    </row>
    <row r="76" spans="1:34" ht="12.9" customHeight="1">
      <c r="C76" s="3"/>
      <c r="D76" s="3" t="s">
        <v>105</v>
      </c>
      <c r="AB76" s="1175">
        <f>IF((Y67+AD67&lt;AB75),Y67+AD67,AB75)</f>
        <v>0</v>
      </c>
      <c r="AC76" s="1176"/>
      <c r="AD76" s="1176"/>
      <c r="AE76" s="1176"/>
      <c r="AF76" s="1177"/>
    </row>
    <row r="77" spans="1:34" ht="12.9" customHeight="1">
      <c r="C77" s="3"/>
      <c r="D77" s="3" t="s">
        <v>942</v>
      </c>
      <c r="AB77" s="1598">
        <f>AB76*AB70</f>
        <v>0</v>
      </c>
      <c r="AC77" s="1598"/>
      <c r="AD77" s="1598"/>
      <c r="AE77" s="1598"/>
      <c r="AF77" s="1598"/>
    </row>
    <row r="78" spans="1:34" ht="12.9" customHeight="1">
      <c r="C78" s="3"/>
      <c r="D78" s="3"/>
      <c r="AB78" s="598"/>
      <c r="AC78" s="598"/>
      <c r="AD78" s="598"/>
      <c r="AE78" s="598"/>
      <c r="AF78" s="598"/>
    </row>
    <row r="79" spans="1:34" ht="12.9" customHeight="1">
      <c r="D79" s="3" t="s">
        <v>106</v>
      </c>
      <c r="AB79" s="1297">
        <f>AB48-(AB56+AB77)</f>
        <v>43288682.519999996</v>
      </c>
      <c r="AC79" s="1297"/>
      <c r="AD79" s="1297"/>
      <c r="AE79" s="1297"/>
      <c r="AF79" s="1297"/>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3"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2" t="s">
        <v>342</v>
      </c>
      <c r="B4" s="327"/>
      <c r="C4" s="327"/>
      <c r="D4" s="327"/>
      <c r="E4" s="327"/>
      <c r="F4" s="327"/>
      <c r="G4" s="327"/>
    </row>
    <row r="5" spans="1:7" s="568" customFormat="1" ht="13.2">
      <c r="A5" s="883" t="s">
        <v>956</v>
      </c>
      <c r="B5" s="329">
        <f>'Sources and Uses Budget'!C4</f>
        <v>2700000</v>
      </c>
      <c r="C5" s="329">
        <f>'Sources and Uses Budget'!C4</f>
        <v>2700000</v>
      </c>
      <c r="D5" s="329">
        <f>'Sources and Uses Budget'!C4</f>
        <v>2700000</v>
      </c>
      <c r="E5" s="331">
        <f>C5-B5</f>
        <v>0</v>
      </c>
      <c r="F5" s="330"/>
      <c r="G5" s="330"/>
    </row>
    <row r="6" spans="1:7" s="568" customFormat="1" ht="13.2">
      <c r="A6" s="883" t="s">
        <v>957</v>
      </c>
      <c r="B6" s="329">
        <f>'Sources and Uses Budget'!C5</f>
        <v>0</v>
      </c>
      <c r="C6" s="329">
        <f>'Sources and Uses Budget'!C5</f>
        <v>0</v>
      </c>
      <c r="D6" s="329">
        <f>'Sources and Uses Budget'!C5</f>
        <v>0</v>
      </c>
      <c r="E6" s="331">
        <f t="shared" ref="E6:E73" si="0">C6-B6</f>
        <v>0</v>
      </c>
      <c r="F6" s="330"/>
      <c r="G6" s="330"/>
    </row>
    <row r="7" spans="1:7" s="568" customFormat="1" ht="13.2">
      <c r="A7" s="883" t="s">
        <v>343</v>
      </c>
      <c r="B7" s="329">
        <f>'Sources and Uses Budget'!C6</f>
        <v>0</v>
      </c>
      <c r="C7" s="329">
        <f>'Sources and Uses Budget'!C6</f>
        <v>0</v>
      </c>
      <c r="D7" s="329">
        <f>'Sources and Uses Budget'!C6</f>
        <v>0</v>
      </c>
      <c r="E7" s="331">
        <f t="shared" si="0"/>
        <v>0</v>
      </c>
      <c r="F7" s="330"/>
      <c r="G7" s="330"/>
    </row>
    <row r="8" spans="1:7" s="568" customFormat="1" ht="13.2">
      <c r="A8" s="883" t="s">
        <v>282</v>
      </c>
      <c r="B8" s="329">
        <f>'Sources and Uses Budget'!C7</f>
        <v>0</v>
      </c>
      <c r="C8" s="329">
        <f>'Sources and Uses Budget'!C7</f>
        <v>0</v>
      </c>
      <c r="D8" s="329">
        <f>'Sources and Uses Budget'!C7</f>
        <v>0</v>
      </c>
      <c r="E8" s="331">
        <f t="shared" si="0"/>
        <v>0</v>
      </c>
      <c r="F8" s="330"/>
      <c r="G8" s="330"/>
    </row>
    <row r="9" spans="1:7" s="568" customFormat="1" ht="13.2">
      <c r="A9" s="884" t="s">
        <v>958</v>
      </c>
      <c r="B9" s="331">
        <f>SUM(B5:B8)</f>
        <v>2700000</v>
      </c>
      <c r="C9" s="331">
        <f>SUM(C5:C8)</f>
        <v>2700000</v>
      </c>
      <c r="D9" s="331">
        <f>SUM(D5:D8)</f>
        <v>2700000</v>
      </c>
      <c r="E9" s="331">
        <f t="shared" si="0"/>
        <v>0</v>
      </c>
      <c r="F9" s="330"/>
      <c r="G9" s="330"/>
    </row>
    <row r="10" spans="1:7" s="568" customFormat="1" ht="13.2">
      <c r="A10" s="883" t="s">
        <v>585</v>
      </c>
      <c r="B10" s="329">
        <f>'Sources and Uses Budget'!C9</f>
        <v>0</v>
      </c>
      <c r="C10" s="329">
        <f>'Sources and Uses Budget'!C9</f>
        <v>0</v>
      </c>
      <c r="D10" s="329">
        <f>'Sources and Uses Budget'!C9</f>
        <v>0</v>
      </c>
      <c r="E10" s="331">
        <f t="shared" si="0"/>
        <v>0</v>
      </c>
      <c r="F10" s="330"/>
      <c r="G10" s="330"/>
    </row>
    <row r="11" spans="1:7" s="568" customFormat="1" ht="13.2">
      <c r="A11" s="883" t="s">
        <v>959</v>
      </c>
      <c r="B11" s="329">
        <f>'Sources and Uses Budget'!C10</f>
        <v>0</v>
      </c>
      <c r="C11" s="329">
        <f>'Sources and Uses Budget'!C10</f>
        <v>0</v>
      </c>
      <c r="D11" s="329">
        <f>'Sources and Uses Budget'!C10</f>
        <v>0</v>
      </c>
      <c r="E11" s="331">
        <f t="shared" si="0"/>
        <v>0</v>
      </c>
      <c r="F11" s="330"/>
      <c r="G11" s="330"/>
    </row>
    <row r="12" spans="1:7" s="568" customFormat="1" ht="13.2">
      <c r="A12" s="884" t="s">
        <v>586</v>
      </c>
      <c r="B12" s="331">
        <f>SUM(B10:B11)</f>
        <v>0</v>
      </c>
      <c r="C12" s="331">
        <f>SUM(C10:C11)</f>
        <v>0</v>
      </c>
      <c r="D12" s="331">
        <f>SUM(D10:D11)</f>
        <v>0</v>
      </c>
      <c r="E12" s="331">
        <f t="shared" si="0"/>
        <v>0</v>
      </c>
      <c r="F12" s="330"/>
      <c r="G12" s="330"/>
    </row>
    <row r="13" spans="1:7" s="568" customFormat="1" ht="13.2">
      <c r="A13" s="884" t="s">
        <v>711</v>
      </c>
      <c r="B13" s="331">
        <f>SUM(B9+B12)</f>
        <v>2700000</v>
      </c>
      <c r="C13" s="331">
        <f>SUM(C9+C12)</f>
        <v>2700000</v>
      </c>
      <c r="D13" s="331">
        <f>SUM(D9+D12)</f>
        <v>2700000</v>
      </c>
      <c r="E13" s="331">
        <f t="shared" si="0"/>
        <v>0</v>
      </c>
      <c r="F13" s="330"/>
      <c r="G13" s="330"/>
    </row>
    <row r="14" spans="1:7" s="568" customFormat="1" ht="13.2">
      <c r="A14" s="885" t="s">
        <v>1110</v>
      </c>
      <c r="B14" s="329">
        <f>'Sources and Uses Budget'!C13</f>
        <v>0</v>
      </c>
      <c r="C14" s="329">
        <f>'Sources and Uses Budget'!C13</f>
        <v>0</v>
      </c>
      <c r="D14" s="329">
        <f>'Sources and Uses Budget'!C13</f>
        <v>0</v>
      </c>
      <c r="E14" s="331">
        <f t="shared" si="0"/>
        <v>0</v>
      </c>
      <c r="F14" s="330"/>
      <c r="G14" s="330"/>
    </row>
    <row r="15" spans="1:7" s="568" customFormat="1" ht="22.8">
      <c r="A15" s="883" t="s">
        <v>1141</v>
      </c>
      <c r="B15" s="329">
        <f>'Sources and Uses Budget'!C14</f>
        <v>0</v>
      </c>
      <c r="C15" s="329">
        <f>'Sources and Uses Budget'!C14</f>
        <v>0</v>
      </c>
      <c r="D15" s="329">
        <f>'Sources and Uses Budget'!C14</f>
        <v>0</v>
      </c>
      <c r="E15" s="331">
        <f t="shared" si="0"/>
        <v>0</v>
      </c>
      <c r="F15" s="330"/>
      <c r="G15" s="330"/>
    </row>
    <row r="16" spans="1:7" s="568" customFormat="1" ht="13.2">
      <c r="A16" s="883" t="s">
        <v>1681</v>
      </c>
      <c r="B16" s="329">
        <f>'Sources and Uses Budget'!C15</f>
        <v>0</v>
      </c>
      <c r="C16" s="329">
        <f>'Sources and Uses Budget'!C15</f>
        <v>0</v>
      </c>
      <c r="D16" s="329">
        <f>'Sources and Uses Budget'!C15</f>
        <v>0</v>
      </c>
      <c r="E16" s="331">
        <f t="shared" si="0"/>
        <v>0</v>
      </c>
      <c r="F16" s="330"/>
      <c r="G16" s="330"/>
    </row>
    <row r="17" spans="1:7" s="568" customFormat="1" ht="13.2">
      <c r="A17" s="882"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3">
        <f>'Sources and Uses Budget'!C26</f>
        <v>0</v>
      </c>
      <c r="C27" s="893">
        <f>'Sources and Uses Budget'!C26</f>
        <v>0</v>
      </c>
      <c r="D27" s="893">
        <f>'Sources and Uses Budget'!C26</f>
        <v>0</v>
      </c>
      <c r="E27" s="331">
        <f>C27-B27</f>
        <v>0</v>
      </c>
      <c r="F27" s="330"/>
      <c r="G27" s="330"/>
    </row>
    <row r="28" spans="1:7" s="568" customFormat="1" ht="13.2">
      <c r="A28" s="886" t="s">
        <v>917</v>
      </c>
      <c r="B28" s="329">
        <f>'Sources and Uses Budget'!C27</f>
        <v>0</v>
      </c>
      <c r="C28" s="329">
        <f>'Sources and Uses Budget'!C27</f>
        <v>0</v>
      </c>
      <c r="D28" s="329">
        <f>'Sources and Uses Budget'!C27</f>
        <v>0</v>
      </c>
      <c r="E28" s="331">
        <f>C28-B28</f>
        <v>0</v>
      </c>
      <c r="F28" s="330"/>
      <c r="G28" s="330"/>
    </row>
    <row r="29" spans="1:7" s="568" customFormat="1" ht="13.2">
      <c r="A29" s="882" t="s">
        <v>918</v>
      </c>
      <c r="B29" s="327"/>
      <c r="C29" s="327"/>
      <c r="D29" s="327"/>
      <c r="E29" s="327"/>
      <c r="F29" s="327"/>
      <c r="G29" s="327"/>
    </row>
    <row r="30" spans="1:7" s="568" customFormat="1" ht="13.2">
      <c r="A30" s="239" t="s">
        <v>910</v>
      </c>
      <c r="B30" s="329">
        <f>'Sources and Uses Budget'!C29</f>
        <v>4989702</v>
      </c>
      <c r="C30" s="329">
        <f>'Sources and Uses Budget'!C29</f>
        <v>4989702</v>
      </c>
      <c r="D30" s="329">
        <f>'Sources and Uses Budget'!C29</f>
        <v>4989702</v>
      </c>
      <c r="E30" s="331">
        <f t="shared" si="0"/>
        <v>0</v>
      </c>
      <c r="F30" s="330"/>
      <c r="G30" s="330"/>
    </row>
    <row r="31" spans="1:7" s="568" customFormat="1" ht="13.2">
      <c r="A31" s="239" t="s">
        <v>911</v>
      </c>
      <c r="B31" s="329">
        <f>'Sources and Uses Budget'!C30</f>
        <v>18000000</v>
      </c>
      <c r="C31" s="329">
        <f>'Sources and Uses Budget'!C30</f>
        <v>18000000</v>
      </c>
      <c r="D31" s="329">
        <f>'Sources and Uses Budget'!C30</f>
        <v>18000000</v>
      </c>
      <c r="E31" s="331">
        <f t="shared" si="0"/>
        <v>0</v>
      </c>
      <c r="F31" s="330"/>
      <c r="G31" s="330"/>
    </row>
    <row r="32" spans="1:7" s="568" customFormat="1" ht="13.2">
      <c r="A32" s="239" t="s">
        <v>912</v>
      </c>
      <c r="B32" s="329">
        <f>'Sources and Uses Budget'!C31</f>
        <v>1509925.58</v>
      </c>
      <c r="C32" s="329">
        <f>'Sources and Uses Budget'!C31</f>
        <v>1509925.58</v>
      </c>
      <c r="D32" s="329">
        <f>'Sources and Uses Budget'!C31</f>
        <v>1509925.58</v>
      </c>
      <c r="E32" s="331">
        <f t="shared" si="0"/>
        <v>0</v>
      </c>
      <c r="F32" s="330"/>
      <c r="G32" s="330"/>
    </row>
    <row r="33" spans="1:7" s="568" customFormat="1" ht="13.2">
      <c r="A33" s="239" t="s">
        <v>913</v>
      </c>
      <c r="B33" s="329">
        <f>'Sources and Uses Budget'!C32</f>
        <v>1183583.6160000002</v>
      </c>
      <c r="C33" s="329">
        <f>'Sources and Uses Budget'!C32</f>
        <v>1183583.6160000002</v>
      </c>
      <c r="D33" s="329">
        <f>'Sources and Uses Budget'!C32</f>
        <v>1183583.6160000002</v>
      </c>
      <c r="E33" s="331">
        <f t="shared" si="0"/>
        <v>0</v>
      </c>
      <c r="F33" s="330"/>
      <c r="G33" s="330"/>
    </row>
    <row r="34" spans="1:7" s="568" customFormat="1" ht="13.2">
      <c r="A34" s="239" t="s">
        <v>914</v>
      </c>
      <c r="B34" s="329">
        <f>'Sources and Uses Budget'!C33</f>
        <v>295895.90400000004</v>
      </c>
      <c r="C34" s="329">
        <f>'Sources and Uses Budget'!C33</f>
        <v>295895.90400000004</v>
      </c>
      <c r="D34" s="329">
        <f>'Sources and Uses Budget'!C33</f>
        <v>295895.90400000004</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567582.14</v>
      </c>
      <c r="C36" s="329">
        <f>'Sources and Uses Budget'!C35</f>
        <v>567582.14</v>
      </c>
      <c r="D36" s="329">
        <f>'Sources and Uses Budget'!C35</f>
        <v>567582.14</v>
      </c>
      <c r="E36" s="331">
        <f t="shared" si="0"/>
        <v>0</v>
      </c>
      <c r="F36" s="330"/>
      <c r="G36" s="330"/>
    </row>
    <row r="37" spans="1:7" s="568" customFormat="1" ht="13.2">
      <c r="A37" s="239" t="s">
        <v>1952</v>
      </c>
      <c r="B37" s="329">
        <f>'Sources and Uses Budget'!C36</f>
        <v>250000</v>
      </c>
      <c r="C37" s="329">
        <f>'Sources and Uses Budget'!C36</f>
        <v>250000</v>
      </c>
      <c r="D37" s="329">
        <f>'Sources and Uses Budget'!C36</f>
        <v>250000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6" t="s">
        <v>919</v>
      </c>
      <c r="B39" s="893">
        <f>'Sources and Uses Budget'!C38</f>
        <v>26796689.239999998</v>
      </c>
      <c r="C39" s="893">
        <f>'Sources and Uses Budget'!C38</f>
        <v>26796689.239999998</v>
      </c>
      <c r="D39" s="893">
        <f>'Sources and Uses Budget'!C38</f>
        <v>26796689.239999998</v>
      </c>
      <c r="E39" s="331">
        <f>C39-B39</f>
        <v>0</v>
      </c>
      <c r="F39" s="330"/>
      <c r="G39" s="330"/>
    </row>
    <row r="40" spans="1:7" s="568" customFormat="1" ht="13.2">
      <c r="A40" s="882" t="s">
        <v>920</v>
      </c>
      <c r="B40" s="327"/>
      <c r="C40" s="327"/>
      <c r="D40" s="327"/>
      <c r="E40" s="327"/>
      <c r="F40" s="327"/>
      <c r="G40" s="327"/>
    </row>
    <row r="41" spans="1:7" s="568" customFormat="1" ht="13.2">
      <c r="A41" s="887" t="s">
        <v>921</v>
      </c>
      <c r="B41" s="329">
        <f>'Sources and Uses Budget'!C40</f>
        <v>651345</v>
      </c>
      <c r="C41" s="329">
        <f>'Sources and Uses Budget'!C40</f>
        <v>651345</v>
      </c>
      <c r="D41" s="329">
        <f>'Sources and Uses Budget'!C40</f>
        <v>651345</v>
      </c>
      <c r="E41" s="331">
        <f>C41-B41</f>
        <v>0</v>
      </c>
      <c r="F41" s="330"/>
      <c r="G41" s="330"/>
    </row>
    <row r="42" spans="1:7" s="568" customFormat="1" ht="13.2">
      <c r="A42" s="887" t="s">
        <v>922</v>
      </c>
      <c r="B42" s="329">
        <f>'Sources and Uses Budget'!C41</f>
        <v>651345</v>
      </c>
      <c r="C42" s="329">
        <f>'Sources and Uses Budget'!C41</f>
        <v>651345</v>
      </c>
      <c r="D42" s="329">
        <f>'Sources and Uses Budget'!C41</f>
        <v>651345</v>
      </c>
      <c r="E42" s="331">
        <f>C42-B42</f>
        <v>0</v>
      </c>
      <c r="F42" s="330"/>
      <c r="G42" s="330"/>
    </row>
    <row r="43" spans="1:7" s="568" customFormat="1" ht="12" customHeight="1">
      <c r="A43" s="886" t="s">
        <v>923</v>
      </c>
      <c r="B43" s="893">
        <f>'Sources and Uses Budget'!C42</f>
        <v>1302690</v>
      </c>
      <c r="C43" s="893">
        <f>'Sources and Uses Budget'!C42</f>
        <v>1302690</v>
      </c>
      <c r="D43" s="893">
        <f>'Sources and Uses Budget'!C42</f>
        <v>1302690</v>
      </c>
      <c r="E43" s="331">
        <f>C43-B43</f>
        <v>0</v>
      </c>
      <c r="F43" s="330"/>
      <c r="G43" s="330"/>
    </row>
    <row r="44" spans="1:7" s="568" customFormat="1" ht="13.2">
      <c r="A44" s="886" t="s">
        <v>924</v>
      </c>
      <c r="B44" s="329">
        <f>'Sources and Uses Budget'!C43</f>
        <v>0</v>
      </c>
      <c r="C44" s="329">
        <f>'Sources and Uses Budget'!C43</f>
        <v>0</v>
      </c>
      <c r="D44" s="329">
        <f>'Sources and Uses Budget'!C43</f>
        <v>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3887398.11</v>
      </c>
      <c r="C46" s="329">
        <f>'Sources and Uses Budget'!C45</f>
        <v>3887398.11</v>
      </c>
      <c r="D46" s="329">
        <f>'Sources and Uses Budget'!C45</f>
        <v>3887398.11</v>
      </c>
      <c r="E46" s="331">
        <f t="shared" si="0"/>
        <v>0</v>
      </c>
      <c r="F46" s="330"/>
      <c r="G46" s="330"/>
    </row>
    <row r="47" spans="1:7" s="568" customFormat="1" ht="13.2">
      <c r="A47" s="239" t="s">
        <v>927</v>
      </c>
      <c r="B47" s="329">
        <f>'Sources and Uses Budget'!C46</f>
        <v>421540.16</v>
      </c>
      <c r="C47" s="329">
        <f>'Sources and Uses Budget'!C46</f>
        <v>421540.16</v>
      </c>
      <c r="D47" s="329">
        <f>'Sources and Uses Budget'!C46</f>
        <v>421540.16</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283791.07</v>
      </c>
      <c r="C49" s="329">
        <f>'Sources and Uses Budget'!C48</f>
        <v>283791.07</v>
      </c>
      <c r="D49" s="329">
        <f>'Sources and Uses Budget'!C48</f>
        <v>283791.07</v>
      </c>
      <c r="E49" s="331">
        <f t="shared" si="0"/>
        <v>0</v>
      </c>
      <c r="F49" s="330"/>
      <c r="G49" s="330"/>
    </row>
    <row r="50" spans="1:7" s="568" customFormat="1" ht="13.2">
      <c r="A50" s="239" t="s">
        <v>932</v>
      </c>
      <c r="B50" s="329">
        <f>'Sources and Uses Budget'!C49</f>
        <v>60000</v>
      </c>
      <c r="C50" s="329">
        <f>'Sources and Uses Budget'!C49</f>
        <v>60000</v>
      </c>
      <c r="D50" s="329">
        <f>'Sources and Uses Budget'!C49</f>
        <v>60000</v>
      </c>
      <c r="E50" s="331">
        <f t="shared" si="0"/>
        <v>0</v>
      </c>
      <c r="F50" s="330"/>
      <c r="G50" s="330"/>
    </row>
    <row r="51" spans="1:7" s="568" customFormat="1" ht="13.2">
      <c r="A51" s="239" t="s">
        <v>930</v>
      </c>
      <c r="B51" s="329">
        <f>'Sources and Uses Budget'!C50</f>
        <v>0</v>
      </c>
      <c r="C51" s="329">
        <f>'Sources and Uses Budget'!C50</f>
        <v>0</v>
      </c>
      <c r="D51" s="329">
        <f>'Sources and Uses Budget'!C50</f>
        <v>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50000</v>
      </c>
      <c r="C53" s="329">
        <f>'Sources and Uses Budget'!C52</f>
        <v>50000</v>
      </c>
      <c r="D53" s="329">
        <f>'Sources and Uses Budget'!C52</f>
        <v>50000</v>
      </c>
      <c r="E53" s="331">
        <f t="shared" si="0"/>
        <v>0</v>
      </c>
      <c r="F53" s="330"/>
      <c r="G53" s="330"/>
    </row>
    <row r="54" spans="1:7" s="568" customFormat="1" ht="13.2">
      <c r="A54" s="243" t="s">
        <v>933</v>
      </c>
      <c r="B54" s="893">
        <f>'Sources and Uses Budget'!C53</f>
        <v>4702729.34</v>
      </c>
      <c r="C54" s="893">
        <f>'Sources and Uses Budget'!C53</f>
        <v>4702729.34</v>
      </c>
      <c r="D54" s="893">
        <f>'Sources and Uses Budget'!C53</f>
        <v>4702729.34</v>
      </c>
      <c r="E54" s="331">
        <f t="shared" si="0"/>
        <v>0</v>
      </c>
      <c r="F54" s="330"/>
      <c r="G54" s="330"/>
    </row>
    <row r="55" spans="1:7" s="568" customFormat="1" ht="12" customHeight="1">
      <c r="A55" s="882" t="s">
        <v>683</v>
      </c>
      <c r="B55" s="327"/>
      <c r="C55" s="327"/>
      <c r="D55" s="327"/>
      <c r="E55" s="327"/>
      <c r="F55" s="327"/>
      <c r="G55" s="327"/>
    </row>
    <row r="56" spans="1:7" s="568" customFormat="1" ht="13.2">
      <c r="A56" s="887" t="s">
        <v>934</v>
      </c>
      <c r="B56" s="329">
        <f>'Sources and Uses Budget'!C55</f>
        <v>46758.41</v>
      </c>
      <c r="C56" s="329">
        <f>'Sources and Uses Budget'!C55</f>
        <v>46758.41</v>
      </c>
      <c r="D56" s="329">
        <f>'Sources and Uses Budget'!C55</f>
        <v>46758.41</v>
      </c>
      <c r="E56" s="331">
        <f t="shared" si="0"/>
        <v>0</v>
      </c>
      <c r="F56" s="330"/>
      <c r="G56" s="330"/>
    </row>
    <row r="57" spans="1:7" s="568" customFormat="1" ht="13.2">
      <c r="A57" s="887" t="s">
        <v>928</v>
      </c>
      <c r="B57" s="329">
        <f>'Sources and Uses Budget'!C56</f>
        <v>500</v>
      </c>
      <c r="C57" s="329">
        <f>'Sources and Uses Budget'!C56</f>
        <v>500</v>
      </c>
      <c r="D57" s="329">
        <f>'Sources and Uses Budget'!C56</f>
        <v>500</v>
      </c>
      <c r="E57" s="331">
        <f t="shared" si="0"/>
        <v>0</v>
      </c>
      <c r="F57" s="330"/>
      <c r="G57" s="330"/>
    </row>
    <row r="58" spans="1:7" s="568" customFormat="1" ht="13.2">
      <c r="A58" s="887" t="s">
        <v>932</v>
      </c>
      <c r="B58" s="329">
        <f>'Sources and Uses Budget'!C57</f>
        <v>0</v>
      </c>
      <c r="C58" s="329">
        <f>'Sources and Uses Budget'!C57</f>
        <v>0</v>
      </c>
      <c r="D58" s="329">
        <f>'Sources and Uses Budget'!C57</f>
        <v>0</v>
      </c>
      <c r="E58" s="331">
        <f t="shared" si="0"/>
        <v>0</v>
      </c>
      <c r="F58" s="330"/>
      <c r="G58" s="330"/>
    </row>
    <row r="59" spans="1:7" s="568" customFormat="1" ht="13.2">
      <c r="A59" s="887" t="s">
        <v>930</v>
      </c>
      <c r="B59" s="329">
        <f>'Sources and Uses Budget'!C58</f>
        <v>0</v>
      </c>
      <c r="C59" s="329">
        <f>'Sources and Uses Budget'!C58</f>
        <v>0</v>
      </c>
      <c r="D59" s="329">
        <f>'Sources and Uses Budget'!C58</f>
        <v>0</v>
      </c>
      <c r="E59" s="331">
        <f t="shared" si="0"/>
        <v>0</v>
      </c>
      <c r="F59" s="330"/>
      <c r="G59" s="330"/>
    </row>
    <row r="60" spans="1:7" s="568" customFormat="1" ht="13.2">
      <c r="A60" s="887" t="s">
        <v>931</v>
      </c>
      <c r="B60" s="329">
        <f>'Sources and Uses Budget'!C59</f>
        <v>0</v>
      </c>
      <c r="C60" s="329">
        <f>'Sources and Uses Budget'!C59</f>
        <v>0</v>
      </c>
      <c r="D60" s="329">
        <f>'Sources and Uses Budget'!C59</f>
        <v>0</v>
      </c>
      <c r="E60" s="331">
        <f t="shared" si="0"/>
        <v>0</v>
      </c>
      <c r="F60" s="330"/>
      <c r="G60" s="330"/>
    </row>
    <row r="61" spans="1:7" s="568" customFormat="1" ht="13.95" customHeight="1">
      <c r="A61" s="888" t="s">
        <v>533</v>
      </c>
      <c r="B61" s="329">
        <f>'Sources and Uses Budget'!C60</f>
        <v>88000</v>
      </c>
      <c r="C61" s="329">
        <f>'Sources and Uses Budget'!C60</f>
        <v>88000</v>
      </c>
      <c r="D61" s="329">
        <f>'Sources and Uses Budget'!C60</f>
        <v>88000</v>
      </c>
      <c r="E61" s="331">
        <f t="shared" si="0"/>
        <v>0</v>
      </c>
      <c r="F61" s="330"/>
      <c r="G61" s="330"/>
    </row>
    <row r="62" spans="1:7" s="568" customFormat="1" ht="13.2">
      <c r="A62" s="886" t="s">
        <v>500</v>
      </c>
      <c r="B62" s="893">
        <f>'Sources and Uses Budget'!C61</f>
        <v>135258.41</v>
      </c>
      <c r="C62" s="893">
        <f>'Sources and Uses Budget'!C61</f>
        <v>135258.41</v>
      </c>
      <c r="D62" s="893">
        <f>'Sources and Uses Budget'!C61</f>
        <v>135258.41</v>
      </c>
      <c r="E62" s="331">
        <f t="shared" si="0"/>
        <v>0</v>
      </c>
      <c r="F62" s="330"/>
      <c r="G62" s="330"/>
    </row>
    <row r="63" spans="1:7" s="568" customFormat="1" ht="13.2">
      <c r="A63" s="889" t="s">
        <v>501</v>
      </c>
      <c r="B63" s="893">
        <f>'Sources and Uses Budget'!C62</f>
        <v>35637366.989999995</v>
      </c>
      <c r="C63" s="893">
        <f>'Sources and Uses Budget'!C62</f>
        <v>35637366.989999995</v>
      </c>
      <c r="D63" s="893">
        <f>'Sources and Uses Budget'!C62</f>
        <v>35637366.989999995</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185000</v>
      </c>
      <c r="C65" s="329">
        <f>'Sources and Uses Budget'!C64</f>
        <v>185000</v>
      </c>
      <c r="D65" s="329">
        <f>'Sources and Uses Budget'!C64</f>
        <v>185000</v>
      </c>
      <c r="E65" s="331">
        <f t="shared" si="0"/>
        <v>0</v>
      </c>
      <c r="F65" s="330"/>
      <c r="G65" s="330"/>
    </row>
    <row r="66" spans="1:7" s="568" customFormat="1" ht="22.8">
      <c r="A66" s="239" t="s">
        <v>1954</v>
      </c>
      <c r="B66" s="329">
        <f>'Sources and Uses Budget'!C65</f>
        <v>250000</v>
      </c>
      <c r="C66" s="329">
        <f>'Sources and Uses Budget'!C65</f>
        <v>250000</v>
      </c>
      <c r="D66" s="329">
        <f>'Sources and Uses Budget'!C65</f>
        <v>250000</v>
      </c>
      <c r="E66" s="331">
        <f t="shared" si="0"/>
        <v>0</v>
      </c>
      <c r="F66" s="330"/>
      <c r="G66" s="330"/>
    </row>
    <row r="67" spans="1:7" s="568" customFormat="1" ht="22.8">
      <c r="A67" s="239" t="s">
        <v>1955</v>
      </c>
      <c r="B67" s="329">
        <f>'Sources and Uses Budget'!C66</f>
        <v>352440</v>
      </c>
      <c r="C67" s="329">
        <f>'Sources and Uses Budget'!C66</f>
        <v>352440</v>
      </c>
      <c r="D67" s="329">
        <f>'Sources and Uses Budget'!C66</f>
        <v>352440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0</v>
      </c>
      <c r="C69" s="329">
        <f>'Sources and Uses Budget'!C68</f>
        <v>0</v>
      </c>
      <c r="D69" s="329">
        <f>'Sources and Uses Budget'!C68</f>
        <v>0</v>
      </c>
      <c r="E69" s="331">
        <f t="shared" si="0"/>
        <v>0</v>
      </c>
      <c r="F69" s="330"/>
      <c r="G69" s="330"/>
    </row>
    <row r="70" spans="1:7" s="568" customFormat="1" ht="13.2">
      <c r="A70" s="243" t="s">
        <v>1957</v>
      </c>
      <c r="B70" s="893">
        <f>'Sources and Uses Budget'!C69</f>
        <v>787440</v>
      </c>
      <c r="C70" s="893">
        <f>'Sources and Uses Budget'!C69</f>
        <v>787440</v>
      </c>
      <c r="D70" s="893">
        <f>'Sources and Uses Budget'!C69</f>
        <v>787440</v>
      </c>
      <c r="E70" s="331">
        <f t="shared" si="0"/>
        <v>0</v>
      </c>
      <c r="F70" s="330"/>
      <c r="G70" s="330"/>
    </row>
    <row r="71" spans="1:7" s="568" customFormat="1" ht="13.2">
      <c r="A71" s="882" t="s">
        <v>285</v>
      </c>
      <c r="B71" s="327"/>
      <c r="C71" s="327"/>
      <c r="D71" s="327"/>
      <c r="E71" s="327"/>
      <c r="F71" s="327"/>
      <c r="G71" s="327"/>
    </row>
    <row r="72" spans="1:7" s="568" customFormat="1" ht="13.2">
      <c r="A72" s="887" t="s">
        <v>286</v>
      </c>
      <c r="B72" s="329">
        <f>'Sources and Uses Budget'!C71</f>
        <v>0</v>
      </c>
      <c r="C72" s="329">
        <f>'Sources and Uses Budget'!C71</f>
        <v>0</v>
      </c>
      <c r="D72" s="329">
        <f>'Sources and Uses Budget'!C71</f>
        <v>0</v>
      </c>
      <c r="E72" s="331">
        <f t="shared" si="0"/>
        <v>0</v>
      </c>
      <c r="F72" s="330"/>
      <c r="G72" s="330"/>
    </row>
    <row r="73" spans="1:7" s="568" customFormat="1" ht="13.2">
      <c r="A73" s="887" t="s">
        <v>287</v>
      </c>
      <c r="B73" s="329">
        <f>'Sources and Uses Budget'!C72</f>
        <v>0</v>
      </c>
      <c r="C73" s="329">
        <f>'Sources and Uses Budget'!C72</f>
        <v>0</v>
      </c>
      <c r="D73" s="329">
        <f>'Sources and Uses Budget'!C72</f>
        <v>0</v>
      </c>
      <c r="E73" s="331">
        <f t="shared" si="0"/>
        <v>0</v>
      </c>
      <c r="F73" s="330"/>
      <c r="G73" s="330"/>
    </row>
    <row r="74" spans="1:7" s="568" customFormat="1" ht="13.2">
      <c r="A74" s="890" t="s">
        <v>1239</v>
      </c>
      <c r="B74" s="329">
        <f>'Sources and Uses Budget'!C73</f>
        <v>0</v>
      </c>
      <c r="C74" s="329">
        <f>'Sources and Uses Budget'!C73</f>
        <v>0</v>
      </c>
      <c r="D74" s="329">
        <f>'Sources and Uses Budget'!C73</f>
        <v>0</v>
      </c>
      <c r="E74" s="331">
        <f>C74-B74</f>
        <v>0</v>
      </c>
      <c r="F74" s="330"/>
      <c r="G74" s="330"/>
    </row>
    <row r="75" spans="1:7" s="568" customFormat="1" ht="13.2">
      <c r="A75" s="887" t="s">
        <v>288</v>
      </c>
      <c r="B75" s="329">
        <f>'Sources and Uses Budget'!C74</f>
        <v>225376.89</v>
      </c>
      <c r="C75" s="329">
        <f>'Sources and Uses Budget'!C74</f>
        <v>225376.89</v>
      </c>
      <c r="D75" s="329">
        <f>'Sources and Uses Budget'!C74</f>
        <v>225376.89</v>
      </c>
      <c r="E75" s="331">
        <f>C75-B75</f>
        <v>0</v>
      </c>
      <c r="F75" s="330"/>
      <c r="G75" s="330"/>
    </row>
    <row r="76" spans="1:7" s="568" customFormat="1" ht="13.2">
      <c r="A76" s="891" t="s">
        <v>533</v>
      </c>
      <c r="B76" s="329">
        <f>'Sources and Uses Budget'!C75</f>
        <v>0</v>
      </c>
      <c r="C76" s="329">
        <f>'Sources and Uses Budget'!C75</f>
        <v>0</v>
      </c>
      <c r="D76" s="329">
        <f>'Sources and Uses Budget'!C75</f>
        <v>0</v>
      </c>
      <c r="E76" s="331">
        <f>C76-B76</f>
        <v>0</v>
      </c>
      <c r="F76" s="330"/>
      <c r="G76" s="330"/>
    </row>
    <row r="77" spans="1:7" s="568" customFormat="1" ht="13.2">
      <c r="A77" s="886" t="s">
        <v>289</v>
      </c>
      <c r="B77" s="893">
        <f>'Sources and Uses Budget'!C76</f>
        <v>225376.89</v>
      </c>
      <c r="C77" s="893">
        <f>'Sources and Uses Budget'!C76</f>
        <v>225376.89</v>
      </c>
      <c r="D77" s="893">
        <f>'Sources and Uses Budget'!C76</f>
        <v>225376.89</v>
      </c>
      <c r="E77" s="331">
        <f>C77-B77</f>
        <v>0</v>
      </c>
      <c r="F77" s="330"/>
      <c r="G77" s="330"/>
    </row>
    <row r="78" spans="1:7" s="568" customFormat="1" ht="13.2">
      <c r="A78" s="882" t="s">
        <v>1743</v>
      </c>
      <c r="B78" s="327"/>
      <c r="C78" s="327"/>
      <c r="D78" s="327"/>
      <c r="E78" s="327"/>
      <c r="F78" s="327"/>
      <c r="G78" s="327"/>
    </row>
    <row r="79" spans="1:7" s="568" customFormat="1" ht="13.95" customHeight="1">
      <c r="A79" s="887" t="s">
        <v>1741</v>
      </c>
      <c r="B79" s="329">
        <f>'Sources and Uses Budget'!C78</f>
        <v>2554119.64</v>
      </c>
      <c r="C79" s="329">
        <f>'Sources and Uses Budget'!C78</f>
        <v>2554119.64</v>
      </c>
      <c r="D79" s="329">
        <f>'Sources and Uses Budget'!C78</f>
        <v>2554119.64</v>
      </c>
      <c r="E79" s="331">
        <f t="shared" ref="E79:E105" si="2">C79-B79</f>
        <v>0</v>
      </c>
      <c r="F79" s="330"/>
      <c r="G79" s="330"/>
    </row>
    <row r="80" spans="1:7" s="568" customFormat="1" ht="13.2">
      <c r="A80" s="887" t="s">
        <v>538</v>
      </c>
      <c r="B80" s="329">
        <f>'Sources and Uses Budget'!C79</f>
        <v>580000</v>
      </c>
      <c r="C80" s="329">
        <f>'Sources and Uses Budget'!C79</f>
        <v>580000</v>
      </c>
      <c r="D80" s="329">
        <f>'Sources and Uses Budget'!C79</f>
        <v>580000</v>
      </c>
      <c r="E80" s="331">
        <f t="shared" si="2"/>
        <v>0</v>
      </c>
      <c r="F80" s="330"/>
      <c r="G80" s="330"/>
    </row>
    <row r="81" spans="1:7" s="568" customFormat="1" ht="13.2">
      <c r="A81" s="886" t="s">
        <v>1742</v>
      </c>
      <c r="B81" s="893">
        <f>'Sources and Uses Budget'!C80</f>
        <v>3134119.64</v>
      </c>
      <c r="C81" s="893">
        <f>'Sources and Uses Budget'!C80</f>
        <v>3134119.64</v>
      </c>
      <c r="D81" s="893">
        <f>'Sources and Uses Budget'!C80</f>
        <v>3134119.64</v>
      </c>
      <c r="E81" s="331">
        <f t="shared" si="2"/>
        <v>0</v>
      </c>
      <c r="F81" s="330"/>
      <c r="G81" s="330"/>
    </row>
    <row r="82" spans="1:7" s="568" customFormat="1" ht="13.2">
      <c r="A82" s="882" t="s">
        <v>515</v>
      </c>
      <c r="B82" s="327"/>
      <c r="C82" s="327"/>
      <c r="D82" s="327"/>
      <c r="E82" s="327"/>
      <c r="F82" s="327"/>
      <c r="G82" s="327"/>
    </row>
    <row r="83" spans="1:7" s="568" customFormat="1" ht="13.2">
      <c r="A83" s="239" t="s">
        <v>2113</v>
      </c>
      <c r="B83" s="329">
        <f>'Sources and Uses Budget'!C82</f>
        <v>152200</v>
      </c>
      <c r="C83" s="329">
        <f>'Sources and Uses Budget'!C82</f>
        <v>152200</v>
      </c>
      <c r="D83" s="329">
        <f>'Sources and Uses Budget'!C82</f>
        <v>152200</v>
      </c>
      <c r="E83" s="331">
        <f t="shared" si="2"/>
        <v>0</v>
      </c>
      <c r="F83" s="330"/>
      <c r="G83" s="330"/>
    </row>
    <row r="84" spans="1:7" s="568" customFormat="1" ht="13.2">
      <c r="A84" s="239" t="s">
        <v>516</v>
      </c>
      <c r="B84" s="329">
        <f>'Sources and Uses Budget'!C83</f>
        <v>0</v>
      </c>
      <c r="C84" s="329">
        <f>'Sources and Uses Budget'!C83</f>
        <v>0</v>
      </c>
      <c r="D84" s="329">
        <f>'Sources and Uses Budget'!C83</f>
        <v>0</v>
      </c>
      <c r="E84" s="331">
        <f t="shared" si="2"/>
        <v>0</v>
      </c>
      <c r="F84" s="330"/>
      <c r="G84" s="330"/>
    </row>
    <row r="85" spans="1:7" s="568" customFormat="1" ht="13.2">
      <c r="A85" s="239" t="s">
        <v>517</v>
      </c>
      <c r="B85" s="329">
        <f>'Sources and Uses Budget'!C84</f>
        <v>567004</v>
      </c>
      <c r="C85" s="329">
        <f>'Sources and Uses Budget'!C84</f>
        <v>567004</v>
      </c>
      <c r="D85" s="329">
        <f>'Sources and Uses Budget'!C84</f>
        <v>567004</v>
      </c>
      <c r="E85" s="331">
        <f t="shared" si="2"/>
        <v>0</v>
      </c>
      <c r="F85" s="330"/>
      <c r="G85" s="330"/>
    </row>
    <row r="86" spans="1:7" s="568" customFormat="1" ht="13.2">
      <c r="A86" s="239" t="s">
        <v>518</v>
      </c>
      <c r="B86" s="329">
        <f>'Sources and Uses Budget'!C85</f>
        <v>0</v>
      </c>
      <c r="C86" s="329">
        <f>'Sources and Uses Budget'!C85</f>
        <v>0</v>
      </c>
      <c r="D86" s="329">
        <f>'Sources and Uses Budget'!C85</f>
        <v>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80175</v>
      </c>
      <c r="C88" s="329">
        <f>'Sources and Uses Budget'!C87</f>
        <v>80175</v>
      </c>
      <c r="D88" s="329">
        <f>'Sources and Uses Budget'!C87</f>
        <v>80175</v>
      </c>
      <c r="E88" s="331">
        <f t="shared" si="2"/>
        <v>0</v>
      </c>
      <c r="F88" s="330"/>
      <c r="G88" s="330"/>
    </row>
    <row r="89" spans="1:7" s="568" customFormat="1" ht="13.2">
      <c r="A89" s="239" t="s">
        <v>521</v>
      </c>
      <c r="B89" s="329">
        <f>'Sources and Uses Budget'!C88</f>
        <v>100000</v>
      </c>
      <c r="C89" s="329">
        <f>'Sources and Uses Budget'!C88</f>
        <v>100000</v>
      </c>
      <c r="D89" s="329">
        <f>'Sources and Uses Budget'!C88</f>
        <v>100000</v>
      </c>
      <c r="E89" s="331">
        <f t="shared" si="2"/>
        <v>0</v>
      </c>
      <c r="F89" s="330"/>
      <c r="G89" s="330"/>
    </row>
    <row r="90" spans="1:7" s="568" customFormat="1" ht="13.2">
      <c r="A90" s="239" t="s">
        <v>522</v>
      </c>
      <c r="B90" s="329">
        <f>'Sources and Uses Budget'!C89</f>
        <v>15000</v>
      </c>
      <c r="C90" s="329">
        <f>'Sources and Uses Budget'!C89</f>
        <v>15000</v>
      </c>
      <c r="D90" s="329">
        <f>'Sources and Uses Budget'!C89</f>
        <v>15000</v>
      </c>
      <c r="E90" s="331">
        <f t="shared" si="2"/>
        <v>0</v>
      </c>
      <c r="F90" s="330"/>
      <c r="G90" s="330"/>
    </row>
    <row r="91" spans="1:7" s="568" customFormat="1" ht="13.2">
      <c r="A91" s="250" t="s">
        <v>1315</v>
      </c>
      <c r="B91" s="329">
        <f>'Sources and Uses Budget'!C90</f>
        <v>75000</v>
      </c>
      <c r="C91" s="329">
        <f>'Sources and Uses Budget'!C90</f>
        <v>75000</v>
      </c>
      <c r="D91" s="329">
        <f>'Sources and Uses Budget'!C90</f>
        <v>75000</v>
      </c>
      <c r="E91" s="331">
        <f t="shared" si="2"/>
        <v>0</v>
      </c>
      <c r="F91" s="330"/>
      <c r="G91" s="330"/>
    </row>
    <row r="92" spans="1:7" s="568" customFormat="1" ht="13.2">
      <c r="A92" s="250" t="s">
        <v>1740</v>
      </c>
      <c r="B92" s="329">
        <f>'Sources and Uses Budget'!C91</f>
        <v>15000</v>
      </c>
      <c r="C92" s="329">
        <f>'Sources and Uses Budget'!C91</f>
        <v>15000</v>
      </c>
      <c r="D92" s="329">
        <f>'Sources and Uses Budget'!C91</f>
        <v>15000</v>
      </c>
      <c r="E92" s="331">
        <f t="shared" si="2"/>
        <v>0</v>
      </c>
      <c r="F92" s="330"/>
      <c r="G92" s="330"/>
    </row>
    <row r="93" spans="1:7" s="568" customFormat="1" ht="13.2">
      <c r="A93" s="246" t="s">
        <v>533</v>
      </c>
      <c r="B93" s="329">
        <f>'Sources and Uses Budget'!C92</f>
        <v>0</v>
      </c>
      <c r="C93" s="329">
        <f>'Sources and Uses Budget'!C92</f>
        <v>0</v>
      </c>
      <c r="D93" s="329">
        <f>'Sources and Uses Budget'!C92</f>
        <v>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3">
        <f>'Sources and Uses Budget'!C95</f>
        <v>1004379</v>
      </c>
      <c r="C96" s="893">
        <f>'Sources and Uses Budget'!C95</f>
        <v>1004379</v>
      </c>
      <c r="D96" s="893">
        <f>'Sources and Uses Budget'!C95</f>
        <v>1004379</v>
      </c>
      <c r="E96" s="331">
        <f t="shared" si="2"/>
        <v>0</v>
      </c>
      <c r="F96" s="330"/>
      <c r="G96" s="330"/>
    </row>
    <row r="97" spans="1:7" s="568" customFormat="1" ht="13.2">
      <c r="A97" s="243" t="s">
        <v>524</v>
      </c>
      <c r="B97" s="893">
        <f>'Sources and Uses Budget'!C96</f>
        <v>40788682.519999996</v>
      </c>
      <c r="C97" s="893">
        <f>'Sources and Uses Budget'!C96</f>
        <v>40788682.519999996</v>
      </c>
      <c r="D97" s="893">
        <f>'Sources and Uses Budget'!C96</f>
        <v>40788682.519999996</v>
      </c>
      <c r="E97" s="331">
        <f t="shared" si="2"/>
        <v>0</v>
      </c>
      <c r="F97" s="330"/>
      <c r="G97" s="330"/>
    </row>
    <row r="98" spans="1:7" s="568" customFormat="1" ht="13.2">
      <c r="A98" s="882"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8" t="s">
        <v>533</v>
      </c>
      <c r="B103" s="329">
        <f>'Sources and Uses Budget'!C102</f>
        <v>0</v>
      </c>
      <c r="C103" s="329">
        <f>'Sources and Uses Budget'!C102</f>
        <v>0</v>
      </c>
      <c r="D103" s="329">
        <f>'Sources and Uses Budget'!C102</f>
        <v>0</v>
      </c>
      <c r="E103" s="331">
        <f t="shared" si="2"/>
        <v>0</v>
      </c>
      <c r="F103" s="330"/>
      <c r="G103" s="330"/>
    </row>
    <row r="104" spans="1:7" s="568" customFormat="1" ht="13.2">
      <c r="A104" s="886" t="s">
        <v>528</v>
      </c>
      <c r="B104" s="893">
        <f>'Sources and Uses Budget'!C103</f>
        <v>2500000</v>
      </c>
      <c r="C104" s="893">
        <f>'Sources and Uses Budget'!C103</f>
        <v>2500000</v>
      </c>
      <c r="D104" s="893">
        <f>'Sources and Uses Budget'!C103</f>
        <v>2500000</v>
      </c>
      <c r="E104" s="331">
        <f t="shared" si="2"/>
        <v>0</v>
      </c>
      <c r="F104" s="330"/>
      <c r="G104" s="330"/>
    </row>
    <row r="105" spans="1:7" s="568" customFormat="1" ht="13.2">
      <c r="A105" s="886" t="s">
        <v>529</v>
      </c>
      <c r="B105" s="893">
        <f>'Sources and Uses Budget'!C104</f>
        <v>43288682.519999996</v>
      </c>
      <c r="C105" s="893">
        <f>'Sources and Uses Budget'!C104</f>
        <v>43288682.519999996</v>
      </c>
      <c r="D105" s="893">
        <f>'Sources and Uses Budget'!C104</f>
        <v>43288682.519999996</v>
      </c>
      <c r="E105" s="331">
        <f t="shared" si="2"/>
        <v>0</v>
      </c>
      <c r="F105" s="330"/>
      <c r="G105" s="892"/>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2097</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3"/>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35" workbookViewId="0">
      <selection activeCell="B1068" sqref="B1068"/>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7" t="s">
        <v>2298</v>
      </c>
      <c r="B2" s="1017"/>
      <c r="C2" s="986"/>
      <c r="D2" s="986"/>
      <c r="E2" s="986"/>
      <c r="F2" s="986"/>
      <c r="G2" s="986"/>
      <c r="I2" t="s">
        <v>79</v>
      </c>
    </row>
    <row r="3" spans="1:9" ht="13.2">
      <c r="A3" s="190"/>
      <c r="B3" s="190"/>
      <c r="C3"/>
      <c r="D3"/>
      <c r="E3"/>
      <c r="F3"/>
      <c r="G3"/>
      <c r="I3" s="5" t="s">
        <v>1392</v>
      </c>
    </row>
    <row r="4" spans="1:9" ht="13.2">
      <c r="A4" s="1018" t="s">
        <v>2133</v>
      </c>
      <c r="B4" s="1018"/>
      <c r="C4" s="1019"/>
      <c r="D4" s="1019"/>
      <c r="E4" s="1019"/>
      <c r="F4" s="1019"/>
      <c r="G4" s="1019"/>
      <c r="I4" s="5" t="s">
        <v>1376</v>
      </c>
    </row>
    <row r="5" spans="1:9" ht="13.2">
      <c r="A5" s="1018" t="s">
        <v>1041</v>
      </c>
      <c r="B5" s="1018"/>
      <c r="C5" s="1019"/>
      <c r="D5" s="1019"/>
      <c r="E5" s="1019"/>
      <c r="F5" s="1019"/>
      <c r="G5" s="1019"/>
      <c r="I5" t="s">
        <v>124</v>
      </c>
    </row>
    <row r="6" spans="1:9" ht="13.65" customHeight="1"/>
    <row r="7" spans="1:9" ht="13.2">
      <c r="A7" s="1021" t="s">
        <v>2309</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1544</v>
      </c>
      <c r="B10" s="1003"/>
      <c r="C10" s="1003"/>
      <c r="D10" s="1003"/>
      <c r="E10" s="1003"/>
      <c r="F10" s="1003"/>
      <c r="G10" s="1003"/>
    </row>
    <row r="11" spans="1:9" ht="13.2">
      <c r="A11" s="190"/>
      <c r="B11" s="190"/>
    </row>
    <row r="12" spans="1:9" ht="13.65" customHeight="1">
      <c r="C12" s="190"/>
      <c r="D12" s="1020" t="s">
        <v>1543</v>
      </c>
      <c r="E12" s="1020"/>
      <c r="F12" s="1020"/>
      <c r="G12" s="610"/>
    </row>
    <row r="13" spans="1:9" ht="13.2">
      <c r="C13" s="190"/>
      <c r="D13" s="1020"/>
      <c r="E13" s="1020"/>
      <c r="F13" s="1020"/>
      <c r="G13" s="610"/>
    </row>
    <row r="14" spans="1:9" ht="13.2">
      <c r="A14" s="191"/>
      <c r="B14" s="191"/>
      <c r="C14" s="191"/>
      <c r="D14" s="998" t="s">
        <v>1414</v>
      </c>
      <c r="E14" s="998"/>
      <c r="F14" s="998"/>
    </row>
    <row r="15" spans="1:9" ht="13.2">
      <c r="A15" s="191"/>
      <c r="B15" s="191"/>
      <c r="C15" s="191"/>
    </row>
    <row r="16" spans="1:9" ht="14.4" customHeight="1">
      <c r="A16" s="271"/>
      <c r="B16" s="609" t="s">
        <v>1376</v>
      </c>
      <c r="C16" s="191"/>
      <c r="D16" s="972" t="s">
        <v>2062</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2063</v>
      </c>
      <c r="F19" s="24"/>
      <c r="G19" s="354"/>
    </row>
    <row r="20" spans="1:7" ht="13.2">
      <c r="A20" s="191"/>
      <c r="B20" s="191"/>
      <c r="C20" s="191"/>
    </row>
    <row r="21" spans="1:7" ht="14.4">
      <c r="A21" s="271"/>
      <c r="B21" s="609" t="s">
        <v>1376</v>
      </c>
      <c r="D21" s="972" t="s">
        <v>2064</v>
      </c>
      <c r="E21" s="978"/>
      <c r="F21" s="978"/>
    </row>
    <row r="22" spans="1:7" ht="13.2">
      <c r="D22" s="978"/>
      <c r="E22" s="978"/>
      <c r="F22" s="978"/>
    </row>
    <row r="23" spans="1:7" ht="13.2">
      <c r="D23" s="102"/>
      <c r="E23" s="104" t="s">
        <v>2065</v>
      </c>
      <c r="F23" s="102"/>
    </row>
    <row r="24" spans="1:7" ht="14.4">
      <c r="A24" s="271"/>
      <c r="B24" s="271"/>
      <c r="D24" s="44"/>
    </row>
    <row r="25" spans="1:7" ht="14.4">
      <c r="A25" s="271"/>
      <c r="B25" s="609" t="s">
        <v>124</v>
      </c>
      <c r="D25" s="978" t="s">
        <v>1408</v>
      </c>
      <c r="E25" s="978"/>
      <c r="F25" s="978"/>
    </row>
    <row r="26" spans="1:7" ht="14.4">
      <c r="A26" s="271"/>
      <c r="B26" s="271"/>
      <c r="D26" s="978"/>
      <c r="E26" s="978"/>
      <c r="F26" s="978"/>
    </row>
    <row r="27" spans="1:7" ht="14.4">
      <c r="A27" s="271"/>
      <c r="B27" s="271"/>
      <c r="D27" s="44"/>
    </row>
    <row r="28" spans="1:7" ht="14.25" customHeight="1">
      <c r="A28" s="271"/>
      <c r="B28" s="609" t="s">
        <v>1376</v>
      </c>
      <c r="D28" s="972" t="s">
        <v>2134</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124</v>
      </c>
      <c r="D34" s="978" t="s">
        <v>2135</v>
      </c>
      <c r="E34" s="978"/>
      <c r="F34" s="978"/>
    </row>
    <row r="35" spans="1:6" ht="14.4">
      <c r="A35" s="271"/>
      <c r="B35" s="271"/>
      <c r="D35" s="978"/>
      <c r="E35" s="978"/>
      <c r="F35" s="978"/>
    </row>
    <row r="36" spans="1:6" ht="14.4">
      <c r="A36" s="271"/>
      <c r="B36" s="271"/>
      <c r="D36" s="209"/>
      <c r="E36" s="209"/>
      <c r="F36" s="209"/>
    </row>
    <row r="37" spans="1:6" ht="14.4">
      <c r="A37" s="271"/>
      <c r="B37" s="609" t="s">
        <v>124</v>
      </c>
      <c r="D37" s="972" t="s">
        <v>1753</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124</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124</v>
      </c>
      <c r="D52" s="972" t="s">
        <v>1884</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124</v>
      </c>
      <c r="D59" s="972" t="s">
        <v>1926</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124</v>
      </c>
      <c r="D64" s="978" t="s">
        <v>2136</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1376</v>
      </c>
      <c r="D68" s="972" t="s">
        <v>2066</v>
      </c>
      <c r="E68" s="978"/>
      <c r="F68" s="978"/>
    </row>
    <row r="69" spans="1:6" ht="13.2">
      <c r="D69" s="978"/>
      <c r="E69" s="978"/>
      <c r="F69" s="978"/>
    </row>
    <row r="70" spans="1:6" ht="13.2">
      <c r="D70" s="978"/>
      <c r="E70" s="978"/>
      <c r="F70" s="978"/>
    </row>
    <row r="71" spans="1:6" ht="14.4">
      <c r="A71" s="271"/>
      <c r="B71" s="271"/>
      <c r="D71" s="209"/>
      <c r="E71" s="128" t="s">
        <v>2063</v>
      </c>
      <c r="F71" s="209"/>
    </row>
    <row r="72" spans="1:6" ht="14.4">
      <c r="A72" s="271"/>
      <c r="B72" s="271"/>
    </row>
    <row r="73" spans="1:6" ht="14.4">
      <c r="A73" s="271"/>
      <c r="B73" s="609" t="s">
        <v>124</v>
      </c>
      <c r="D73" s="978" t="s">
        <v>1542</v>
      </c>
      <c r="E73" s="978"/>
      <c r="F73" s="978"/>
    </row>
    <row r="74" spans="1:6" ht="13.2">
      <c r="D74" s="978"/>
      <c r="E74" s="978"/>
      <c r="F74" s="978"/>
    </row>
    <row r="75" spans="1:6" ht="13.2">
      <c r="D75" s="978"/>
      <c r="E75" s="978"/>
      <c r="F75" s="978"/>
    </row>
    <row r="76" spans="1:6" ht="13.2"/>
    <row r="77" spans="1:6" ht="14.4">
      <c r="A77" s="271" t="s">
        <v>229</v>
      </c>
      <c r="B77" s="609" t="s">
        <v>124</v>
      </c>
      <c r="D77" s="978" t="s">
        <v>1444</v>
      </c>
      <c r="E77" s="978"/>
      <c r="F77" s="978"/>
    </row>
    <row r="78" spans="1:6" ht="13.2">
      <c r="D78" s="978"/>
      <c r="E78" s="978"/>
      <c r="F78" s="978"/>
    </row>
    <row r="79" spans="1:6" ht="13.2"/>
    <row r="80" spans="1:6" ht="14.4">
      <c r="A80" s="271" t="s">
        <v>229</v>
      </c>
      <c r="B80" s="609" t="s">
        <v>1376</v>
      </c>
      <c r="D80" s="978" t="s">
        <v>1445</v>
      </c>
      <c r="E80" s="978"/>
      <c r="F80" s="978"/>
    </row>
    <row r="81" spans="1:7" ht="13.2">
      <c r="D81" s="978"/>
      <c r="E81" s="978"/>
      <c r="F81" s="978"/>
    </row>
    <row r="82" spans="1:7" ht="13.2">
      <c r="D82" s="978"/>
      <c r="E82" s="978"/>
      <c r="F82" s="978"/>
    </row>
    <row r="83" spans="1:7" ht="13.2">
      <c r="D83" s="44"/>
    </row>
    <row r="84" spans="1:7" ht="14.4">
      <c r="A84" s="271" t="s">
        <v>229</v>
      </c>
      <c r="B84" s="609" t="s">
        <v>1376</v>
      </c>
      <c r="D84" s="978" t="s">
        <v>1446</v>
      </c>
      <c r="E84" s="978"/>
      <c r="F84" s="978"/>
    </row>
    <row r="85" spans="1:7" ht="13.2">
      <c r="D85" s="978"/>
      <c r="E85" s="978"/>
      <c r="F85" s="978"/>
    </row>
    <row r="86" spans="1:7" ht="13.2"/>
    <row r="87" spans="1:7" ht="13.2">
      <c r="A87" s="1003" t="s">
        <v>1380</v>
      </c>
      <c r="B87" s="1003"/>
      <c r="C87" s="1003"/>
      <c r="D87" s="1003"/>
      <c r="E87" s="1003"/>
      <c r="F87" s="1003"/>
      <c r="G87" s="1003"/>
    </row>
    <row r="88" spans="1:7" ht="13.2">
      <c r="E88"/>
      <c r="F88"/>
      <c r="G88"/>
    </row>
    <row r="89" spans="1:7" ht="13.65" customHeight="1">
      <c r="C89" s="590"/>
      <c r="D89" s="1005" t="s">
        <v>1381</v>
      </c>
      <c r="E89" s="1005"/>
      <c r="F89" s="1005"/>
      <c r="G89"/>
    </row>
    <row r="90" spans="1:7" ht="13.65" customHeight="1">
      <c r="A90" s="44"/>
      <c r="B90" s="44"/>
      <c r="D90" s="978" t="s">
        <v>1545</v>
      </c>
      <c r="E90" s="978"/>
      <c r="F90" s="978"/>
      <c r="G90"/>
    </row>
    <row r="91" spans="1:7" ht="13.2">
      <c r="A91" s="44"/>
      <c r="B91" s="44"/>
      <c r="E91"/>
      <c r="F91"/>
      <c r="G91"/>
    </row>
    <row r="92" spans="1:7" ht="14.25" customHeight="1">
      <c r="A92" s="271"/>
      <c r="B92" s="609" t="s">
        <v>1376</v>
      </c>
      <c r="D92" s="972" t="s">
        <v>1857</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124</v>
      </c>
      <c r="D101" s="999" t="s">
        <v>1858</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124</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1376</v>
      </c>
      <c r="D122" s="978" t="s">
        <v>1547</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1376</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124</v>
      </c>
      <c r="D141" s="972" t="s">
        <v>1730</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1731</v>
      </c>
      <c r="E159" s="1037"/>
      <c r="F159" s="1037"/>
      <c r="G159"/>
    </row>
    <row r="160" spans="1:7" ht="13.95" customHeight="1">
      <c r="A160" s="18"/>
      <c r="B160" s="18"/>
      <c r="D160" s="44"/>
      <c r="G160"/>
    </row>
    <row r="161" spans="1:7" ht="13.95" customHeight="1">
      <c r="A161" s="271"/>
      <c r="B161" s="609" t="s">
        <v>124</v>
      </c>
      <c r="D161" s="999" t="s">
        <v>2296</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124</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124</v>
      </c>
      <c r="C172" s="370"/>
      <c r="D172" s="1035" t="s">
        <v>2137</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1383</v>
      </c>
      <c r="B176" s="1003"/>
      <c r="C176" s="1003"/>
      <c r="D176" s="1003"/>
      <c r="E176" s="1003"/>
      <c r="F176" s="1003"/>
      <c r="G176" s="1003"/>
    </row>
    <row r="177" spans="1:6" ht="13.2">
      <c r="D177" s="44"/>
    </row>
    <row r="178" spans="1:6" ht="13.2">
      <c r="C178" s="590"/>
      <c r="D178" s="1012" t="s">
        <v>1382</v>
      </c>
      <c r="E178" s="1012"/>
      <c r="F178" s="1012"/>
    </row>
    <row r="179" spans="1:6" ht="13.2">
      <c r="A179" s="190"/>
      <c r="B179" s="190"/>
      <c r="C179" s="190"/>
      <c r="D179" s="1036" t="s">
        <v>1415</v>
      </c>
      <c r="E179" s="1036"/>
      <c r="F179" s="1036"/>
    </row>
    <row r="180" spans="1:6" ht="13.2">
      <c r="A180" s="191"/>
      <c r="B180" s="191"/>
      <c r="C180" s="191"/>
    </row>
    <row r="181" spans="1:6" ht="14.4">
      <c r="A181" s="271"/>
      <c r="B181" s="609" t="s">
        <v>124</v>
      </c>
      <c r="D181" s="1001" t="s">
        <v>1733</v>
      </c>
      <c r="E181" s="1002"/>
      <c r="F181" s="1002"/>
    </row>
    <row r="182" spans="1:6" ht="14.4">
      <c r="A182" s="271"/>
      <c r="D182" s="312"/>
      <c r="E182" s="102"/>
      <c r="F182" s="102"/>
    </row>
    <row r="183" spans="1:6" ht="14.4">
      <c r="A183" s="271"/>
      <c r="B183" s="609" t="s">
        <v>124</v>
      </c>
      <c r="D183" s="1002" t="s">
        <v>1550</v>
      </c>
      <c r="E183" s="1002"/>
      <c r="F183" s="1002"/>
    </row>
    <row r="184" spans="1:6" ht="14.4">
      <c r="A184" s="271"/>
      <c r="D184" s="102"/>
      <c r="E184" s="102"/>
      <c r="F184" s="102"/>
    </row>
    <row r="185" spans="1:6" ht="14.4">
      <c r="A185" s="271"/>
      <c r="B185" s="609" t="s">
        <v>124</v>
      </c>
      <c r="D185" s="1038" t="s">
        <v>1810</v>
      </c>
      <c r="E185" s="1038"/>
      <c r="F185" s="1038"/>
    </row>
    <row r="186" spans="1:6" ht="13.65" customHeight="1">
      <c r="A186" s="271"/>
      <c r="D186" s="41" t="s">
        <v>900</v>
      </c>
      <c r="E186" s="972" t="s">
        <v>2132</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901</v>
      </c>
      <c r="E190" s="972" t="s">
        <v>1811</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1376</v>
      </c>
      <c r="D198" s="972" t="s">
        <v>2299</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2301</v>
      </c>
      <c r="E202" s="1037"/>
      <c r="F202" s="1037"/>
    </row>
    <row r="203" spans="1:7" ht="13.2">
      <c r="D203" s="625"/>
      <c r="E203" s="625"/>
      <c r="F203" s="625"/>
    </row>
    <row r="204" spans="1:7" ht="14.4">
      <c r="A204" s="271"/>
      <c r="B204" s="609" t="s">
        <v>1376</v>
      </c>
      <c r="D204" s="997" t="s">
        <v>2302</v>
      </c>
      <c r="E204" s="998"/>
      <c r="F204" s="998"/>
    </row>
    <row r="205" spans="1:7" ht="13.2"/>
    <row r="206" spans="1:7" ht="13.2">
      <c r="A206" s="1003" t="s">
        <v>1385</v>
      </c>
      <c r="B206" s="1003"/>
      <c r="C206" s="1003"/>
      <c r="D206" s="1003"/>
      <c r="E206" s="1003"/>
      <c r="F206" s="1003"/>
      <c r="G206" s="1003"/>
    </row>
    <row r="207" spans="1:7" ht="13.2"/>
    <row r="208" spans="1:7" ht="13.2">
      <c r="C208" s="591"/>
      <c r="D208" s="1012" t="s">
        <v>1384</v>
      </c>
      <c r="E208" s="1012"/>
      <c r="F208" s="1012"/>
    </row>
    <row r="209" spans="1:6" ht="13.2">
      <c r="A209" s="592"/>
      <c r="B209" s="592"/>
      <c r="C209" s="591"/>
      <c r="D209" s="1012" t="s">
        <v>697</v>
      </c>
      <c r="E209" s="1012"/>
      <c r="F209" s="1012"/>
    </row>
    <row r="210" spans="1:6" ht="13.2">
      <c r="A210" s="190"/>
      <c r="B210" s="190"/>
      <c r="C210" s="190"/>
      <c r="D210" s="1002" t="s">
        <v>1416</v>
      </c>
      <c r="E210" s="1002"/>
      <c r="F210" s="1002"/>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2138</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1376</v>
      </c>
      <c r="C224" s="191"/>
      <c r="D224" s="998" t="s">
        <v>292</v>
      </c>
      <c r="E224" s="998"/>
      <c r="F224" s="998"/>
    </row>
    <row r="225" spans="1:6" ht="14.4">
      <c r="A225" s="271"/>
      <c r="C225" s="191"/>
      <c r="D225" s="1002" t="s">
        <v>1111</v>
      </c>
      <c r="E225" s="1002"/>
      <c r="F225" s="1002"/>
    </row>
    <row r="226" spans="1:6" ht="14.4">
      <c r="A226" s="271"/>
      <c r="B226" s="271"/>
      <c r="C226" s="191"/>
      <c r="D226" s="104" t="s">
        <v>1430</v>
      </c>
      <c r="E226" s="1010" t="s">
        <v>2067</v>
      </c>
      <c r="F226" s="1010"/>
    </row>
    <row r="227" spans="1:6" ht="13.2">
      <c r="D227" s="1001" t="s">
        <v>1409</v>
      </c>
      <c r="E227" s="1002"/>
      <c r="F227" s="1002"/>
    </row>
    <row r="228" spans="1:6" ht="13.2"/>
    <row r="229" spans="1:6" ht="14.4">
      <c r="A229" s="271"/>
      <c r="B229" s="609" t="s">
        <v>124</v>
      </c>
      <c r="D229" s="1002" t="s">
        <v>293</v>
      </c>
      <c r="E229" s="1002"/>
      <c r="F229" s="1002"/>
    </row>
    <row r="230" spans="1:6" ht="14.4">
      <c r="A230" s="271"/>
      <c r="D230" s="998" t="s">
        <v>1111</v>
      </c>
      <c r="E230" s="998"/>
      <c r="F230" s="998"/>
    </row>
    <row r="231" spans="1:6" ht="14.4">
      <c r="A231" s="271"/>
      <c r="B231" s="271"/>
      <c r="D231" s="63" t="s">
        <v>1431</v>
      </c>
      <c r="E231" s="1010" t="s">
        <v>2068</v>
      </c>
      <c r="F231" s="1010"/>
    </row>
    <row r="232" spans="1:6" ht="13.2">
      <c r="D232" s="1002" t="s">
        <v>1410</v>
      </c>
      <c r="E232" s="1002"/>
      <c r="F232" s="1002"/>
    </row>
    <row r="233" spans="1:6" ht="13.2"/>
    <row r="234" spans="1:6" ht="14.4">
      <c r="A234" s="271"/>
      <c r="B234" s="609" t="s">
        <v>124</v>
      </c>
      <c r="D234" s="1002" t="s">
        <v>641</v>
      </c>
      <c r="E234" s="1002"/>
      <c r="F234" s="1002"/>
    </row>
    <row r="235" spans="1:6" ht="14.4">
      <c r="A235" s="271"/>
      <c r="D235" s="44" t="s">
        <v>1111</v>
      </c>
    </row>
    <row r="236" spans="1:6" ht="14.4">
      <c r="A236" s="271"/>
      <c r="B236" s="271"/>
      <c r="D236" s="63" t="s">
        <v>1430</v>
      </c>
      <c r="E236" s="1010" t="s">
        <v>2069</v>
      </c>
      <c r="F236" s="1010"/>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9" t="s">
        <v>124</v>
      </c>
      <c r="D244" s="1002" t="s">
        <v>642</v>
      </c>
      <c r="E244" s="1002"/>
      <c r="F244" s="1002"/>
    </row>
    <row r="245" spans="1:6" ht="14.4">
      <c r="A245" s="271"/>
      <c r="D245" s="1002" t="s">
        <v>1111</v>
      </c>
      <c r="E245" s="1002"/>
      <c r="F245" s="1002"/>
    </row>
    <row r="246" spans="1:6" ht="14.4">
      <c r="A246" s="271"/>
      <c r="B246" s="271"/>
      <c r="D246" s="63" t="s">
        <v>1430</v>
      </c>
      <c r="E246" s="1010" t="s">
        <v>2070</v>
      </c>
      <c r="F246" s="1010"/>
    </row>
    <row r="247" spans="1:6" ht="13.2">
      <c r="D247" s="1001" t="s">
        <v>1930</v>
      </c>
      <c r="E247" s="1002"/>
      <c r="F247" s="1002"/>
    </row>
    <row r="248" spans="1:6" ht="13.2">
      <c r="D248" s="102"/>
      <c r="E248" s="102"/>
      <c r="F248" s="102"/>
    </row>
    <row r="249" spans="1:6" ht="14.4">
      <c r="A249" s="271"/>
      <c r="B249" s="609" t="s">
        <v>124</v>
      </c>
      <c r="D249" s="1001" t="s">
        <v>1929</v>
      </c>
      <c r="E249" s="1002"/>
      <c r="F249" s="1002"/>
    </row>
    <row r="250" spans="1:6" ht="14.4">
      <c r="A250" s="271"/>
      <c r="D250" s="1002" t="s">
        <v>1111</v>
      </c>
      <c r="E250" s="1002"/>
      <c r="F250" s="1002"/>
    </row>
    <row r="251" spans="1:6" ht="14.4">
      <c r="A251" s="271"/>
      <c r="B251" s="271"/>
      <c r="D251" s="63" t="s">
        <v>1430</v>
      </c>
      <c r="E251" s="1010" t="s">
        <v>2071</v>
      </c>
      <c r="F251" s="1010"/>
    </row>
    <row r="252" spans="1:6" ht="13.2">
      <c r="D252" s="1001" t="s">
        <v>1931</v>
      </c>
      <c r="E252" s="1002"/>
      <c r="F252" s="1002"/>
    </row>
    <row r="253" spans="1:6" ht="13.2">
      <c r="D253" s="44"/>
    </row>
    <row r="254" spans="1:6" ht="14.4">
      <c r="A254" s="271"/>
      <c r="B254" s="609" t="s">
        <v>124</v>
      </c>
      <c r="D254" s="102" t="s">
        <v>1453</v>
      </c>
      <c r="E254" s="102"/>
      <c r="F254" s="102"/>
    </row>
    <row r="255" spans="1:6" ht="14.4">
      <c r="A255" s="271"/>
      <c r="B255"/>
      <c r="D255" s="972" t="s">
        <v>1754</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124</v>
      </c>
      <c r="D259" s="1002" t="s">
        <v>1022</v>
      </c>
      <c r="E259" s="1002"/>
      <c r="F259" s="1002"/>
    </row>
    <row r="260" spans="1:7" ht="14.4">
      <c r="A260" s="271"/>
      <c r="D260" s="102"/>
      <c r="E260" s="102"/>
      <c r="F260" s="102"/>
    </row>
    <row r="261" spans="1:7" ht="13.2">
      <c r="A261" s="1003" t="s">
        <v>1387</v>
      </c>
      <c r="B261" s="1003"/>
      <c r="C261" s="1003"/>
      <c r="D261" s="1003"/>
      <c r="E261" s="1003"/>
      <c r="F261" s="1003"/>
      <c r="G261" s="1003"/>
    </row>
    <row r="262" spans="1:7" ht="13.2">
      <c r="D262" s="44"/>
    </row>
    <row r="263" spans="1:7" ht="13.2">
      <c r="C263" s="590"/>
      <c r="D263" s="1004" t="s">
        <v>1386</v>
      </c>
      <c r="E263" s="1004"/>
      <c r="F263" s="1004"/>
    </row>
    <row r="264" spans="1:7" ht="13.2">
      <c r="A264" s="190"/>
      <c r="B264" s="190"/>
      <c r="C264" s="190"/>
      <c r="D264" s="998" t="s">
        <v>1417</v>
      </c>
      <c r="E264" s="998"/>
      <c r="F264" s="998"/>
    </row>
    <row r="265" spans="1:7" ht="13.2">
      <c r="A265" s="18"/>
      <c r="B265" s="18"/>
      <c r="C265" s="18"/>
      <c r="D265" s="3"/>
    </row>
    <row r="266" spans="1:7" ht="13.2">
      <c r="A266" s="18"/>
      <c r="C266" s="18"/>
      <c r="D266" s="1004" t="s">
        <v>209</v>
      </c>
      <c r="E266" s="1004"/>
      <c r="F266" s="1004"/>
      <c r="G266"/>
    </row>
    <row r="267" spans="1:7" ht="14.4" customHeight="1">
      <c r="A267" s="271"/>
      <c r="B267" s="609" t="s">
        <v>1376</v>
      </c>
      <c r="C267" s="879"/>
      <c r="D267" s="1013" t="s">
        <v>2007</v>
      </c>
      <c r="E267" s="1013"/>
      <c r="F267" s="1013"/>
      <c r="G267"/>
    </row>
    <row r="268" spans="1:7" ht="14.4">
      <c r="A268" s="271"/>
      <c r="B268" s="880"/>
      <c r="C268" s="879"/>
      <c r="D268" s="1013"/>
      <c r="E268" s="1013"/>
      <c r="F268" s="1013"/>
      <c r="G268"/>
    </row>
    <row r="269" spans="1:7" ht="14.4">
      <c r="A269" s="271"/>
      <c r="B269" s="880"/>
      <c r="C269" s="879"/>
      <c r="D269" s="1013"/>
      <c r="E269" s="1013"/>
      <c r="F269" s="1013"/>
      <c r="G269"/>
    </row>
    <row r="270" spans="1:7" ht="14.4" customHeight="1">
      <c r="A270" s="271"/>
      <c r="B270" s="880"/>
      <c r="C270" s="879"/>
      <c r="D270" s="1013"/>
      <c r="E270" s="1013"/>
      <c r="F270" s="1013"/>
      <c r="G270"/>
    </row>
    <row r="271" spans="1:7" ht="14.4">
      <c r="A271" s="271"/>
      <c r="B271" s="880"/>
      <c r="C271" s="879"/>
      <c r="D271" s="881"/>
      <c r="E271" s="881"/>
      <c r="F271" s="881"/>
      <c r="G271"/>
    </row>
    <row r="272" spans="1:7" ht="14.4">
      <c r="A272" s="271"/>
      <c r="B272" s="609" t="s">
        <v>1376</v>
      </c>
      <c r="C272" s="879"/>
      <c r="D272" s="1013" t="s">
        <v>2008</v>
      </c>
      <c r="E272" s="1013"/>
      <c r="F272" s="1013"/>
      <c r="G272"/>
    </row>
    <row r="273" spans="1:7" ht="14.4">
      <c r="A273" s="271"/>
      <c r="B273" s="880"/>
      <c r="C273" s="879"/>
      <c r="D273" s="1013"/>
      <c r="E273" s="1013"/>
      <c r="F273" s="1013"/>
      <c r="G273"/>
    </row>
    <row r="274" spans="1:7" ht="14.4">
      <c r="A274" s="271"/>
      <c r="B274" s="880"/>
      <c r="C274" s="879"/>
      <c r="D274" s="1013"/>
      <c r="E274" s="1013"/>
      <c r="F274" s="1013"/>
      <c r="G274"/>
    </row>
    <row r="275" spans="1:7" ht="14.4">
      <c r="A275" s="271"/>
      <c r="B275" s="880"/>
      <c r="C275" s="879"/>
      <c r="D275" s="1013"/>
      <c r="E275" s="1013"/>
      <c r="F275" s="1013"/>
      <c r="G275"/>
    </row>
    <row r="276" spans="1:7" ht="14.4">
      <c r="A276" s="271"/>
      <c r="B276" s="880"/>
      <c r="C276" s="879"/>
      <c r="D276" s="1013"/>
      <c r="E276" s="1013"/>
      <c r="F276" s="1013"/>
      <c r="G276"/>
    </row>
    <row r="277" spans="1:7" ht="14.4">
      <c r="A277" s="271"/>
      <c r="B277" s="880"/>
      <c r="C277" s="879"/>
      <c r="D277" s="881"/>
      <c r="E277" s="881"/>
      <c r="F277" s="881"/>
      <c r="G277"/>
    </row>
    <row r="278" spans="1:7" ht="14.4">
      <c r="A278" s="271"/>
      <c r="B278" s="880"/>
      <c r="C278" s="879"/>
      <c r="D278" s="1013" t="s">
        <v>1559</v>
      </c>
      <c r="E278" s="1013"/>
      <c r="F278" s="1013"/>
      <c r="G278"/>
    </row>
    <row r="279" spans="1:7" ht="14.4">
      <c r="A279" s="271"/>
      <c r="B279" s="880"/>
      <c r="C279" s="879"/>
      <c r="D279" s="1013"/>
      <c r="E279" s="1013"/>
      <c r="F279" s="1013"/>
      <c r="G279"/>
    </row>
    <row r="280" spans="1:7" ht="14.4">
      <c r="A280" s="271"/>
      <c r="B280" s="880"/>
      <c r="C280" s="879"/>
      <c r="D280" s="1013"/>
      <c r="E280" s="1013"/>
      <c r="F280" s="1013"/>
      <c r="G280"/>
    </row>
    <row r="281" spans="1:7" ht="14.4">
      <c r="A281" s="271"/>
      <c r="B281" s="880"/>
      <c r="C281" s="879"/>
      <c r="D281" s="1013"/>
      <c r="E281" s="1013"/>
      <c r="F281" s="1013"/>
      <c r="G281"/>
    </row>
    <row r="282" spans="1:7" ht="14.4">
      <c r="A282" s="271"/>
      <c r="B282" s="880"/>
      <c r="C282" s="879"/>
      <c r="D282" s="1013"/>
      <c r="E282" s="1013"/>
      <c r="F282" s="1013"/>
      <c r="G282"/>
    </row>
    <row r="283" spans="1:7" ht="14.4">
      <c r="A283" s="271"/>
      <c r="B283" s="271"/>
      <c r="D283" s="209"/>
      <c r="E283" s="209"/>
      <c r="F283" s="209"/>
      <c r="G283"/>
    </row>
    <row r="284" spans="1:7" s="448" customFormat="1" ht="14.4" customHeight="1">
      <c r="A284" s="289"/>
      <c r="B284" s="609" t="s">
        <v>124</v>
      </c>
      <c r="C284" s="798"/>
      <c r="D284" s="1011" t="s">
        <v>1924</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5"/>
      <c r="E287" s="926" t="s">
        <v>2072</v>
      </c>
      <c r="F287" s="925"/>
      <c r="G287" s="799"/>
    </row>
    <row r="288" spans="1:7" ht="14.4">
      <c r="A288" s="271"/>
      <c r="B288" s="271"/>
      <c r="D288" s="44"/>
      <c r="E288"/>
      <c r="F288"/>
      <c r="G288"/>
    </row>
    <row r="289" spans="1:7" ht="14.4">
      <c r="A289" s="271"/>
      <c r="B289" s="609" t="s">
        <v>1376</v>
      </c>
      <c r="D289" s="998" t="s">
        <v>1112</v>
      </c>
      <c r="E289" s="998"/>
      <c r="F289" s="998"/>
      <c r="G289"/>
    </row>
    <row r="290" spans="1:7" ht="14.4">
      <c r="A290" s="271"/>
      <c r="B290" s="271"/>
      <c r="D290" s="998" t="s">
        <v>1560</v>
      </c>
      <c r="E290" s="998"/>
      <c r="F290" s="998"/>
      <c r="G290"/>
    </row>
    <row r="291" spans="1:7" ht="14.4">
      <c r="A291" s="271"/>
      <c r="B291" s="271"/>
      <c r="D291" s="3" t="s">
        <v>1042</v>
      </c>
      <c r="E291" s="926" t="s">
        <v>2073</v>
      </c>
      <c r="F291" s="3"/>
    </row>
    <row r="292" spans="1:7" ht="13.2">
      <c r="D292" s="28"/>
    </row>
    <row r="293" spans="1:7" ht="14.4">
      <c r="A293" s="271"/>
      <c r="B293" s="609" t="s">
        <v>1376</v>
      </c>
      <c r="D293" s="978" t="s">
        <v>1561</v>
      </c>
      <c r="E293" s="978"/>
      <c r="F293" s="978"/>
    </row>
    <row r="294" spans="1:7" ht="14.4">
      <c r="A294" s="271"/>
      <c r="B294" s="271"/>
      <c r="D294" s="978"/>
      <c r="E294" s="978"/>
      <c r="F294" s="978"/>
    </row>
    <row r="295" spans="1:7" ht="13.2">
      <c r="D295" s="28"/>
    </row>
    <row r="296" spans="1:7" ht="13.2">
      <c r="A296" s="1003" t="s">
        <v>1389</v>
      </c>
      <c r="B296" s="1003"/>
      <c r="C296" s="1003"/>
      <c r="D296" s="1003"/>
      <c r="E296" s="1003"/>
      <c r="F296" s="1003"/>
      <c r="G296" s="1003"/>
    </row>
    <row r="297" spans="1:7" ht="13.2">
      <c r="D297" s="28"/>
    </row>
    <row r="298" spans="1:7" ht="13.2">
      <c r="C298" s="590"/>
      <c r="D298" s="1004" t="s">
        <v>1388</v>
      </c>
      <c r="E298" s="1004"/>
      <c r="F298" s="1004"/>
    </row>
    <row r="299" spans="1:7" ht="13.2">
      <c r="A299" s="190"/>
      <c r="B299" s="190"/>
      <c r="C299" s="190"/>
      <c r="D299" s="44"/>
    </row>
    <row r="300" spans="1:7" ht="13.2">
      <c r="A300" s="191"/>
      <c r="B300" s="191"/>
      <c r="C300" s="191"/>
      <c r="D300" s="1004" t="s">
        <v>211</v>
      </c>
      <c r="E300" s="1004"/>
      <c r="F300" s="1004"/>
    </row>
    <row r="301" spans="1:7" ht="14.4" customHeight="1">
      <c r="A301" s="271"/>
      <c r="B301" s="609" t="s">
        <v>124</v>
      </c>
      <c r="D301" s="972" t="s">
        <v>1881</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124</v>
      </c>
      <c r="C305" s="798"/>
      <c r="D305" s="1011" t="s">
        <v>1925</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2074</v>
      </c>
      <c r="F308" s="373"/>
      <c r="G308" s="799"/>
    </row>
    <row r="309" spans="1:7" ht="13.2">
      <c r="D309" s="212"/>
    </row>
    <row r="310" spans="1:7" ht="13.2">
      <c r="A310" s="1003" t="s">
        <v>1390</v>
      </c>
      <c r="B310" s="1003"/>
      <c r="C310" s="1003"/>
      <c r="D310" s="1003"/>
      <c r="E310" s="1003"/>
      <c r="F310" s="1003"/>
      <c r="G310" s="1003"/>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1563</v>
      </c>
      <c r="E316" s="1015"/>
      <c r="F316" s="1015"/>
    </row>
    <row r="317" spans="1:7" ht="12" customHeight="1"/>
    <row r="318" spans="1:7" ht="14.4" customHeight="1">
      <c r="A318" s="271"/>
      <c r="B318" s="609" t="s">
        <v>124</v>
      </c>
      <c r="D318" s="978" t="s">
        <v>1564</v>
      </c>
      <c r="E318" s="978"/>
      <c r="F318" s="978"/>
    </row>
    <row r="319" spans="1:7" ht="14.4">
      <c r="A319" s="271"/>
      <c r="B319" s="271"/>
      <c r="D319" s="978"/>
      <c r="E319" s="978"/>
      <c r="F319" s="978"/>
    </row>
    <row r="320" spans="1:7" ht="13.2"/>
    <row r="321" spans="1:7" ht="14.4" customHeight="1">
      <c r="A321" s="271"/>
      <c r="B321" s="609" t="s">
        <v>124</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124</v>
      </c>
      <c r="D325" s="978" t="s">
        <v>1566</v>
      </c>
      <c r="E325" s="978"/>
      <c r="F325" s="978"/>
    </row>
    <row r="326" spans="1:7" ht="14.4">
      <c r="A326" s="271"/>
      <c r="B326" s="271"/>
      <c r="D326" s="978"/>
      <c r="E326" s="978"/>
      <c r="F326" s="978"/>
    </row>
    <row r="327" spans="1:7" ht="13.2">
      <c r="A327" s="18"/>
      <c r="B327" s="18"/>
      <c r="D327" s="44"/>
    </row>
    <row r="328" spans="1:7" ht="13.2">
      <c r="A328" s="1003" t="s">
        <v>1377</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1418</v>
      </c>
      <c r="E331" s="998"/>
      <c r="F331" s="998"/>
      <c r="G331"/>
    </row>
    <row r="332" spans="1:7" ht="13.2">
      <c r="C332" s="18"/>
      <c r="D332" s="182"/>
      <c r="G332"/>
    </row>
    <row r="333" spans="1:7" ht="13.2">
      <c r="B333" s="609" t="s">
        <v>124</v>
      </c>
      <c r="D333" s="998" t="s">
        <v>1567</v>
      </c>
      <c r="E333" s="998"/>
      <c r="F333" s="998"/>
      <c r="G333"/>
    </row>
    <row r="334" spans="1:7" ht="14.4">
      <c r="A334" s="271"/>
      <c r="B334" s="271"/>
      <c r="D334" s="420"/>
      <c r="G334"/>
    </row>
    <row r="335" spans="1:7" ht="14.4">
      <c r="A335" s="271"/>
      <c r="B335" s="609" t="s">
        <v>124</v>
      </c>
      <c r="D335" s="998" t="s">
        <v>1568</v>
      </c>
      <c r="E335" s="998"/>
      <c r="F335" s="998"/>
      <c r="G335"/>
    </row>
    <row r="336" spans="1:7" ht="13.2">
      <c r="G336"/>
    </row>
    <row r="337" spans="1:7" ht="14.4" customHeight="1">
      <c r="A337" s="271"/>
      <c r="B337" s="609" t="s">
        <v>124</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124</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124</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14" t="s">
        <v>1266</v>
      </c>
      <c r="E370" s="1014"/>
      <c r="F370" s="1014"/>
    </row>
    <row r="371" spans="1:6" ht="13.8" thickTop="1">
      <c r="D371" s="1016" t="s">
        <v>1570</v>
      </c>
      <c r="E371" s="1016"/>
      <c r="F371" s="1016"/>
    </row>
    <row r="372" spans="1:6" ht="13.2">
      <c r="D372" s="44"/>
    </row>
    <row r="373" spans="1:6" ht="14.4">
      <c r="A373" s="271"/>
      <c r="B373" s="609" t="s">
        <v>124</v>
      </c>
      <c r="C373" s="361"/>
      <c r="D373" s="1008" t="s">
        <v>2139</v>
      </c>
      <c r="E373" s="1008"/>
      <c r="F373" s="1008"/>
    </row>
    <row r="374" spans="1:6" ht="14.4">
      <c r="A374" s="271"/>
      <c r="B374" s="271"/>
      <c r="C374" s="361"/>
      <c r="D374" s="420"/>
    </row>
    <row r="375" spans="1:6" ht="14.4">
      <c r="A375" s="271"/>
      <c r="B375" s="609" t="s">
        <v>124</v>
      </c>
      <c r="C375" s="361"/>
      <c r="D375" s="973" t="s">
        <v>2140</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124</v>
      </c>
      <c r="C386" s="361"/>
      <c r="D386" s="996" t="s">
        <v>1571</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1572</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1575</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124</v>
      </c>
      <c r="C419" s="361"/>
      <c r="D419" s="996" t="s">
        <v>1573</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124</v>
      </c>
      <c r="C422" s="361"/>
      <c r="D422" s="999" t="s">
        <v>1878</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124</v>
      </c>
      <c r="C428" s="361"/>
      <c r="D428" s="999" t="s">
        <v>1859</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1874</v>
      </c>
      <c r="E432" s="1000"/>
      <c r="F432" s="1000"/>
    </row>
    <row r="433" spans="1:6" ht="13.2">
      <c r="D433" s="44"/>
    </row>
    <row r="434" spans="1:6" ht="14.4" customHeight="1">
      <c r="A434" s="271"/>
      <c r="B434" s="609" t="s">
        <v>124</v>
      </c>
      <c r="C434" s="207"/>
      <c r="D434" s="978" t="s">
        <v>2141</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124</v>
      </c>
      <c r="C466" s="207"/>
      <c r="D466" s="997" t="s">
        <v>2078</v>
      </c>
      <c r="E466" s="998"/>
      <c r="F466" s="998"/>
    </row>
    <row r="467" spans="1:6" ht="13.2">
      <c r="D467"/>
      <c r="E467" s="927" t="s">
        <v>2077</v>
      </c>
      <c r="F467" s="927"/>
    </row>
    <row r="468" spans="1:6" ht="13.65" customHeight="1">
      <c r="D468" s="972" t="s">
        <v>1856</v>
      </c>
      <c r="E468" s="978"/>
      <c r="F468" s="978"/>
    </row>
    <row r="469" spans="1:6" ht="13.65" customHeight="1">
      <c r="D469" s="978"/>
      <c r="E469" s="978"/>
      <c r="F469" s="978"/>
    </row>
    <row r="470" spans="1:6" ht="13.2">
      <c r="D470" s="44"/>
    </row>
    <row r="471" spans="1:6" ht="14.4" customHeight="1">
      <c r="A471" s="271"/>
      <c r="B471" s="609" t="s">
        <v>124</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9" t="s">
        <v>124</v>
      </c>
      <c r="C475" s="271"/>
      <c r="D475" s="972" t="s">
        <v>1718</v>
      </c>
      <c r="E475" s="978"/>
      <c r="F475" s="978"/>
    </row>
    <row r="476" spans="1:6" ht="13.2">
      <c r="D476" s="978"/>
      <c r="E476" s="978"/>
      <c r="F476" s="978"/>
    </row>
    <row r="477" spans="1:6" ht="13.2">
      <c r="D477" s="44"/>
      <c r="E477" s="44"/>
    </row>
    <row r="478" spans="1:6" ht="14.4">
      <c r="B478" s="609" t="s">
        <v>124</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9" t="s">
        <v>124</v>
      </c>
      <c r="D482" s="978"/>
      <c r="E482" s="978"/>
      <c r="F482" s="978"/>
    </row>
    <row r="483" spans="2:6" ht="13.2">
      <c r="D483" s="978"/>
      <c r="E483" s="978"/>
      <c r="F483" s="978"/>
    </row>
    <row r="484" spans="2:6" ht="13.2">
      <c r="D484" s="978"/>
      <c r="E484" s="978"/>
      <c r="F484" s="978"/>
    </row>
    <row r="485" spans="2:6" ht="13.2">
      <c r="B485" s="609" t="s">
        <v>124</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124</v>
      </c>
      <c r="D489" s="978"/>
      <c r="E489" s="978"/>
      <c r="F489" s="978"/>
    </row>
    <row r="490" spans="2:6" ht="13.2">
      <c r="D490" s="978"/>
      <c r="E490" s="978"/>
      <c r="F490" s="978"/>
    </row>
    <row r="491" spans="2:6" ht="13.2">
      <c r="B491" s="609" t="s">
        <v>124</v>
      </c>
      <c r="D491" s="978"/>
      <c r="E491" s="978"/>
      <c r="F491" s="978"/>
    </row>
    <row r="492" spans="2:6" ht="13.2">
      <c r="D492" s="978"/>
      <c r="E492" s="978"/>
      <c r="F492" s="978"/>
    </row>
    <row r="493" spans="2:6" ht="13.65" customHeight="1">
      <c r="B493" s="609" t="s">
        <v>124</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124</v>
      </c>
      <c r="D499" s="998" t="s">
        <v>1419</v>
      </c>
      <c r="E499" s="998"/>
      <c r="F499" s="998"/>
    </row>
    <row r="500" spans="1:7" ht="13.2">
      <c r="A500" s="44"/>
      <c r="B500" s="44"/>
    </row>
    <row r="501" spans="1:7" ht="13.2">
      <c r="A501" s="1003" t="s">
        <v>1378</v>
      </c>
      <c r="B501" s="1003"/>
      <c r="C501" s="1003"/>
      <c r="D501" s="1003"/>
      <c r="E501" s="1003"/>
      <c r="F501" s="1003"/>
      <c r="G501" s="1003"/>
    </row>
    <row r="502" spans="1:7" ht="13.2">
      <c r="A502" s="44"/>
      <c r="B502" s="44"/>
    </row>
    <row r="503" spans="1:7" ht="13.2">
      <c r="D503" s="1007" t="s">
        <v>1118</v>
      </c>
      <c r="E503" s="1007"/>
      <c r="F503" s="1007"/>
    </row>
    <row r="504" spans="1:7" ht="13.2">
      <c r="D504" s="1008" t="s">
        <v>1412</v>
      </c>
      <c r="E504" s="1008"/>
      <c r="F504" s="1008"/>
    </row>
    <row r="505" spans="1:7" ht="14.4">
      <c r="A505" s="271"/>
      <c r="B505" s="271"/>
      <c r="D505" s="420"/>
    </row>
    <row r="506" spans="1:7" ht="14.4">
      <c r="A506" s="271"/>
      <c r="B506" s="609" t="s">
        <v>124</v>
      </c>
      <c r="D506" s="996" t="s">
        <v>1579</v>
      </c>
      <c r="E506" s="996"/>
      <c r="F506" s="996"/>
    </row>
    <row r="507" spans="1:7" ht="14.4">
      <c r="A507" s="271"/>
      <c r="B507" s="271"/>
      <c r="D507" s="996"/>
      <c r="E507" s="996"/>
      <c r="F507" s="996"/>
    </row>
    <row r="508" spans="1:7" ht="14.4">
      <c r="A508" s="271"/>
      <c r="B508" s="271"/>
      <c r="D508" s="44"/>
    </row>
    <row r="509" spans="1:7" ht="14.4">
      <c r="A509" s="271"/>
      <c r="B509" s="609" t="s">
        <v>124</v>
      </c>
      <c r="D509" s="1009" t="s">
        <v>1875</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124</v>
      </c>
      <c r="D514" s="998" t="s">
        <v>1581</v>
      </c>
      <c r="E514" s="998"/>
      <c r="F514" s="998"/>
      <c r="G514"/>
    </row>
    <row r="515" spans="1:7" ht="13.2">
      <c r="D515" s="44"/>
      <c r="G515"/>
    </row>
    <row r="516" spans="1:7" ht="14.4">
      <c r="A516" s="271"/>
      <c r="B516" s="609" t="s">
        <v>124</v>
      </c>
      <c r="D516" s="978" t="s">
        <v>1582</v>
      </c>
      <c r="E516" s="978"/>
      <c r="F516" s="978"/>
      <c r="G516"/>
    </row>
    <row r="517" spans="1:7" ht="13.2">
      <c r="D517" s="978"/>
      <c r="E517" s="978"/>
      <c r="F517" s="978"/>
      <c r="G517"/>
    </row>
    <row r="518" spans="1:7" ht="13.2">
      <c r="D518" s="420"/>
      <c r="G518"/>
    </row>
    <row r="519" spans="1:7" ht="14.4">
      <c r="A519" s="271"/>
      <c r="B519" s="609" t="s">
        <v>124</v>
      </c>
      <c r="D519" s="998" t="s">
        <v>1580</v>
      </c>
      <c r="E519" s="998"/>
      <c r="F519" s="998"/>
    </row>
    <row r="520" spans="1:7" ht="14.4">
      <c r="A520" s="271"/>
      <c r="B520" s="271"/>
      <c r="D520" s="44"/>
    </row>
    <row r="521" spans="1:7" ht="13.2">
      <c r="A521" s="1003" t="s">
        <v>1379</v>
      </c>
      <c r="B521" s="1003"/>
      <c r="C521" s="1003"/>
      <c r="D521" s="1003"/>
      <c r="E521" s="1003"/>
      <c r="F521" s="1003"/>
      <c r="G521" s="1003"/>
    </row>
    <row r="522" spans="1:7" ht="12" customHeight="1">
      <c r="A522" s="271"/>
      <c r="B522" s="271"/>
      <c r="D522" s="44"/>
    </row>
    <row r="523" spans="1:7" ht="13.2">
      <c r="B523" s="609" t="s">
        <v>1376</v>
      </c>
      <c r="C523" s="190"/>
      <c r="D523" s="1027" t="s">
        <v>1525</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124</v>
      </c>
      <c r="C528" s="207"/>
      <c r="D528" s="978" t="s">
        <v>2142</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124</v>
      </c>
      <c r="C531" s="191"/>
      <c r="D531" s="928" t="s">
        <v>2079</v>
      </c>
      <c r="E531" s="929"/>
      <c r="G531"/>
    </row>
    <row r="532" spans="1:7" ht="13.2">
      <c r="A532" s="191"/>
      <c r="B532" s="191"/>
      <c r="C532" s="191"/>
      <c r="D532" s="929"/>
      <c r="E532" s="104" t="s">
        <v>2080</v>
      </c>
      <c r="G532"/>
    </row>
    <row r="533" spans="1:7" ht="14.4">
      <c r="A533" s="271"/>
      <c r="B533"/>
      <c r="D533" s="996" t="s">
        <v>2143</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1391</v>
      </c>
      <c r="B537" s="1003"/>
      <c r="C537" s="1003"/>
      <c r="D537" s="1003"/>
      <c r="E537" s="1003"/>
      <c r="F537" s="1003"/>
      <c r="G537" s="1003"/>
    </row>
    <row r="538" spans="1:7" ht="12" customHeight="1">
      <c r="A538" s="44"/>
      <c r="B538" s="44"/>
      <c r="C538" s="207"/>
      <c r="E538" s="44"/>
    </row>
    <row r="539" spans="1:7" ht="13.2">
      <c r="C539" s="207"/>
      <c r="D539" s="1004" t="s">
        <v>1420</v>
      </c>
      <c r="E539" s="1004"/>
      <c r="F539" s="1004"/>
    </row>
    <row r="540" spans="1:7" ht="13.2"/>
    <row r="541" spans="1:7" ht="13.2">
      <c r="B541" s="609" t="s">
        <v>124</v>
      </c>
      <c r="D541" s="978" t="s">
        <v>1551</v>
      </c>
      <c r="E541" s="978"/>
      <c r="F541" s="978"/>
    </row>
    <row r="542" spans="1:7" ht="13.2">
      <c r="D542" s="978"/>
      <c r="E542" s="978"/>
      <c r="F542" s="978"/>
    </row>
    <row r="543" spans="1:7" ht="12" customHeight="1">
      <c r="A543" s="207"/>
      <c r="B543" s="207"/>
      <c r="C543" s="207"/>
      <c r="D543" s="44"/>
    </row>
    <row r="544" spans="1:7" ht="14.4">
      <c r="A544" s="271"/>
      <c r="B544" s="609" t="s">
        <v>124</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23" t="s">
        <v>1427</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1534</v>
      </c>
      <c r="E550" s="998"/>
      <c r="F550" s="998"/>
    </row>
    <row r="551" spans="1:7" ht="13.2">
      <c r="C551" s="207"/>
      <c r="D551" s="44"/>
      <c r="E551" s="44"/>
      <c r="F551" s="44"/>
    </row>
    <row r="552" spans="1:7" ht="14.4">
      <c r="A552" s="271"/>
      <c r="B552" s="609" t="s">
        <v>1376</v>
      </c>
      <c r="C552" s="207"/>
      <c r="D552" s="998" t="s">
        <v>1113</v>
      </c>
      <c r="E552" s="998"/>
      <c r="F552" s="998"/>
    </row>
    <row r="553" spans="1:7" ht="12" customHeight="1">
      <c r="A553" s="207"/>
      <c r="B553" s="207"/>
      <c r="C553" s="207"/>
      <c r="D553" s="44"/>
      <c r="E553"/>
      <c r="F553"/>
      <c r="G553"/>
    </row>
    <row r="554" spans="1:7" ht="14.4" customHeight="1">
      <c r="A554" s="271"/>
      <c r="B554" s="609" t="s">
        <v>1376</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1376</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1376</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1376</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124</v>
      </c>
      <c r="C567" s="207"/>
      <c r="D567" s="972"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1376</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1376</v>
      </c>
      <c r="C573" s="207"/>
      <c r="D573" s="998" t="s">
        <v>1539</v>
      </c>
      <c r="E573" s="998"/>
      <c r="F573" s="998"/>
      <c r="G573"/>
    </row>
    <row r="574" spans="1:7" ht="14.4">
      <c r="A574" s="271"/>
      <c r="B574" s="271"/>
      <c r="C574" s="207"/>
      <c r="D574" s="1026" t="s">
        <v>2081</v>
      </c>
      <c r="E574" s="1026"/>
      <c r="F574" s="1026"/>
      <c r="G574"/>
    </row>
    <row r="575" spans="1:7" ht="13.2">
      <c r="A575" s="18"/>
      <c r="B575" s="18"/>
      <c r="C575" s="207"/>
      <c r="D575" s="930"/>
      <c r="E575" s="104" t="s">
        <v>2082</v>
      </c>
      <c r="F575" s="931"/>
      <c r="G575"/>
    </row>
    <row r="576" spans="1:7" ht="15" customHeight="1">
      <c r="A576" s="18"/>
      <c r="B576" s="18"/>
      <c r="C576" s="207"/>
      <c r="D576" s="972" t="s">
        <v>1752</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1376</v>
      </c>
      <c r="C586" s="207"/>
      <c r="D586" s="998" t="s">
        <v>1540</v>
      </c>
      <c r="E586" s="998"/>
      <c r="F586" s="998"/>
      <c r="G586"/>
    </row>
    <row r="587" spans="1:7" ht="13.65"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1376</v>
      </c>
      <c r="C591" s="207"/>
      <c r="D591" s="978" t="s">
        <v>2144</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124</v>
      </c>
      <c r="C596" s="191"/>
      <c r="D596" s="1001" t="s">
        <v>1813</v>
      </c>
      <c r="E596" s="1002"/>
      <c r="F596" s="1002"/>
    </row>
    <row r="597" spans="1:7" ht="13.2">
      <c r="A597" s="191"/>
      <c r="B597" s="191"/>
      <c r="C597" s="191"/>
    </row>
    <row r="598" spans="1:7" ht="13.2">
      <c r="A598" s="207"/>
      <c r="B598" s="207"/>
      <c r="C598" s="207"/>
      <c r="D598" s="24"/>
      <c r="E598" s="24"/>
      <c r="F598" s="24"/>
    </row>
    <row r="599" spans="1:7" ht="13.2">
      <c r="A599" s="1003" t="s">
        <v>1393</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1442</v>
      </c>
      <c r="E602" s="1006"/>
      <c r="F602" s="1006"/>
    </row>
    <row r="603" spans="1:7" ht="13.2">
      <c r="C603" s="190"/>
      <c r="D603" s="371"/>
    </row>
    <row r="604" spans="1:7" ht="14.4">
      <c r="A604" s="271"/>
      <c r="B604" s="609" t="s">
        <v>1376</v>
      </c>
      <c r="D604" s="1006" t="s">
        <v>1114</v>
      </c>
      <c r="E604" s="1006"/>
      <c r="F604" s="1006"/>
    </row>
    <row r="605" spans="1:7" ht="13.2">
      <c r="A605" s="18"/>
      <c r="B605" s="18"/>
      <c r="D605" s="361"/>
    </row>
    <row r="606" spans="1:7" ht="14.4" customHeight="1">
      <c r="A606" s="271"/>
      <c r="B606" s="609" t="s">
        <v>1376</v>
      </c>
      <c r="D606" s="1006" t="s">
        <v>2145</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124</v>
      </c>
      <c r="D610" s="1006" t="s">
        <v>1443</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1376</v>
      </c>
      <c r="D615" s="1006" t="s">
        <v>2146</v>
      </c>
      <c r="E615" s="1006"/>
      <c r="F615" s="1006"/>
    </row>
    <row r="616" spans="1:7" ht="14.4">
      <c r="A616" s="271"/>
      <c r="B616" s="271"/>
      <c r="D616" s="1006"/>
      <c r="E616" s="1006"/>
      <c r="F616" s="1006"/>
    </row>
    <row r="617" spans="1:7" ht="14.4">
      <c r="A617" s="271"/>
      <c r="B617" s="271"/>
      <c r="D617" s="371"/>
    </row>
    <row r="618" spans="1:7" ht="14.4" customHeight="1">
      <c r="A618" s="271"/>
      <c r="B618" s="609" t="s">
        <v>124</v>
      </c>
      <c r="D618" s="1006" t="s">
        <v>1447</v>
      </c>
      <c r="E618" s="1006"/>
      <c r="F618" s="1006"/>
    </row>
    <row r="619" spans="1:7" ht="14.4">
      <c r="A619" s="271"/>
      <c r="B619" s="271"/>
      <c r="D619" s="1006"/>
      <c r="E619" s="1006"/>
      <c r="F619" s="1006"/>
    </row>
    <row r="620" spans="1:7" ht="14.4">
      <c r="A620" s="271"/>
      <c r="B620" s="271"/>
      <c r="D620" s="371"/>
    </row>
    <row r="621" spans="1:7" ht="14.4">
      <c r="A621" s="271"/>
      <c r="B621" s="609" t="s">
        <v>1376</v>
      </c>
      <c r="D621" s="1006" t="s">
        <v>1115</v>
      </c>
      <c r="E621" s="1006"/>
      <c r="F621" s="1006"/>
    </row>
    <row r="622" spans="1:7" ht="13.2">
      <c r="A622" s="18"/>
      <c r="B622" s="18"/>
    </row>
    <row r="623" spans="1:7" ht="13.2">
      <c r="A623" s="1003" t="s">
        <v>1395</v>
      </c>
      <c r="B623" s="1003"/>
      <c r="C623" s="1003"/>
      <c r="D623" s="1003"/>
      <c r="E623" s="1003"/>
      <c r="F623" s="1003"/>
      <c r="G623" s="1003"/>
    </row>
    <row r="624" spans="1:7" ht="13.2">
      <c r="A624" s="63"/>
      <c r="B624" s="63"/>
    </row>
    <row r="625" spans="1:7" ht="13.2">
      <c r="C625" s="191"/>
      <c r="D625" s="1012" t="s">
        <v>1394</v>
      </c>
      <c r="E625" s="1012"/>
      <c r="F625" s="1012"/>
    </row>
    <row r="626" spans="1:7" ht="13.2">
      <c r="C626" s="191"/>
      <c r="D626" s="1002" t="s">
        <v>1421</v>
      </c>
      <c r="E626" s="1002"/>
      <c r="F626" s="1002"/>
    </row>
    <row r="627" spans="1:7" ht="13.2">
      <c r="C627" s="191"/>
      <c r="D627" s="102"/>
      <c r="E627" s="102"/>
      <c r="F627" s="102"/>
    </row>
    <row r="628" spans="1:7" ht="14.25" customHeight="1">
      <c r="A628" s="271"/>
      <c r="B628" s="609" t="s">
        <v>1376</v>
      </c>
      <c r="D628" s="993" t="s">
        <v>2084</v>
      </c>
      <c r="E628" s="994"/>
      <c r="F628" s="994"/>
    </row>
    <row r="629" spans="1:7" ht="13.2">
      <c r="D629" s="994"/>
      <c r="E629" s="994"/>
      <c r="F629" s="994"/>
    </row>
    <row r="630" spans="1:7" ht="13.2">
      <c r="D630" s="932"/>
      <c r="E630" s="926" t="s">
        <v>2083</v>
      </c>
      <c r="F630" s="932"/>
    </row>
    <row r="631" spans="1:7" ht="13.2">
      <c r="A631" s="63"/>
      <c r="B631" s="63"/>
    </row>
    <row r="632" spans="1:7" ht="12" customHeight="1">
      <c r="A632" s="1003" t="s">
        <v>1397</v>
      </c>
      <c r="B632" s="1003"/>
      <c r="C632" s="1003"/>
      <c r="D632" s="1003"/>
      <c r="E632" s="1003"/>
      <c r="F632" s="1003"/>
      <c r="G632" s="1003"/>
    </row>
    <row r="633" spans="1:7" ht="13.2">
      <c r="A633" s="44"/>
      <c r="B633" s="44"/>
    </row>
    <row r="634" spans="1:7" ht="13.2">
      <c r="C634" s="190"/>
      <c r="D634" s="1004" t="s">
        <v>1396</v>
      </c>
      <c r="E634" s="1004"/>
      <c r="F634" s="1004"/>
    </row>
    <row r="635" spans="1:7" ht="13.2">
      <c r="A635" s="191"/>
      <c r="B635" s="191"/>
      <c r="C635" s="191"/>
      <c r="D635" s="998" t="s">
        <v>1553</v>
      </c>
      <c r="E635" s="998"/>
      <c r="F635" s="998"/>
    </row>
    <row r="636" spans="1:7" ht="13.2">
      <c r="A636" s="191"/>
      <c r="B636" s="191"/>
      <c r="C636" s="191"/>
    </row>
    <row r="637" spans="1:7" ht="14.4">
      <c r="A637" s="271"/>
      <c r="B637" s="271"/>
      <c r="D637" s="1012" t="s">
        <v>870</v>
      </c>
      <c r="E637" s="1012"/>
      <c r="F637" s="1012"/>
    </row>
    <row r="638" spans="1:7" ht="14.4">
      <c r="A638" s="271"/>
      <c r="B638" s="609" t="s">
        <v>1376</v>
      </c>
      <c r="D638" s="1002" t="s">
        <v>1554</v>
      </c>
      <c r="E638" s="1002"/>
      <c r="F638" s="1002"/>
    </row>
    <row r="639" spans="1:7" ht="14.4">
      <c r="A639" s="271"/>
      <c r="B639" s="271"/>
      <c r="D639" s="44"/>
    </row>
    <row r="640" spans="1:7" ht="14.4">
      <c r="A640" s="271"/>
      <c r="B640" s="609" t="s">
        <v>124</v>
      </c>
      <c r="D640" s="978" t="s">
        <v>1555</v>
      </c>
      <c r="E640" s="978"/>
      <c r="F640" s="978"/>
    </row>
    <row r="641" spans="1:7" ht="14.4">
      <c r="A641" s="271"/>
      <c r="B641" s="271"/>
      <c r="D641" s="978"/>
      <c r="E641" s="978"/>
      <c r="F641" s="978"/>
    </row>
    <row r="642" spans="1:7" ht="14.4">
      <c r="A642" s="271"/>
      <c r="B642" s="271"/>
      <c r="D642" s="44"/>
    </row>
    <row r="643" spans="1:7" ht="14.4">
      <c r="A643" s="271"/>
      <c r="B643" s="609" t="s">
        <v>1376</v>
      </c>
      <c r="D643" s="972" t="s">
        <v>1921</v>
      </c>
      <c r="E643" s="972"/>
      <c r="F643" s="972"/>
    </row>
    <row r="644" spans="1:7" ht="13.65" customHeight="1">
      <c r="D644" s="972"/>
      <c r="E644" s="972"/>
      <c r="F644" s="972"/>
    </row>
    <row r="645" spans="1:7" ht="13.2"/>
    <row r="646" spans="1:7" ht="14.4">
      <c r="A646" s="271"/>
      <c r="B646" s="609" t="s">
        <v>124</v>
      </c>
      <c r="D646" s="1002" t="s">
        <v>1556</v>
      </c>
      <c r="E646" s="1002"/>
      <c r="F646" s="1002"/>
    </row>
    <row r="647" spans="1:7" ht="13.2">
      <c r="A647" s="190"/>
      <c r="B647" s="190"/>
      <c r="C647" s="190"/>
    </row>
    <row r="648" spans="1:7" ht="13.2">
      <c r="A648" s="1003" t="s">
        <v>1398</v>
      </c>
      <c r="B648" s="1003"/>
      <c r="C648" s="1003"/>
      <c r="D648" s="1003"/>
      <c r="E648" s="1003"/>
      <c r="F648" s="1003"/>
      <c r="G648" s="1003"/>
    </row>
    <row r="649" spans="1:7" ht="13.2">
      <c r="A649" s="190"/>
      <c r="B649" s="190"/>
      <c r="C649" s="190"/>
    </row>
    <row r="650" spans="1:7" ht="13.2">
      <c r="C650" s="18"/>
      <c r="D650" s="1042" t="s">
        <v>1422</v>
      </c>
      <c r="E650" s="1042"/>
      <c r="F650" s="1042"/>
    </row>
    <row r="651" spans="1:7" ht="13.2">
      <c r="A651" s="18"/>
      <c r="B651" s="18"/>
      <c r="D651" s="3"/>
    </row>
    <row r="652" spans="1:7" ht="14.25" customHeight="1">
      <c r="A652" s="271"/>
      <c r="B652" s="609" t="s">
        <v>1376</v>
      </c>
      <c r="D652" s="993" t="s">
        <v>2147</v>
      </c>
      <c r="E652" s="993"/>
      <c r="F652" s="993"/>
    </row>
    <row r="653" spans="1:7" ht="14.4">
      <c r="A653" s="271"/>
      <c r="B653" s="271"/>
      <c r="D653" s="993"/>
      <c r="E653" s="993"/>
      <c r="F653" s="993"/>
    </row>
    <row r="654" spans="1:7" ht="13.2">
      <c r="D654" s="932"/>
      <c r="E654" s="926" t="s">
        <v>2086</v>
      </c>
      <c r="F654" s="932"/>
    </row>
    <row r="655" spans="1:7" ht="13.2">
      <c r="D655" s="975" t="s">
        <v>2085</v>
      </c>
      <c r="E655" s="975"/>
      <c r="F655" s="975"/>
    </row>
    <row r="656" spans="1:7" ht="12.75" customHeight="1">
      <c r="D656" s="975"/>
      <c r="E656" s="975"/>
      <c r="F656" s="975"/>
    </row>
    <row r="657" spans="1:9" ht="13.2">
      <c r="B657"/>
      <c r="D657" s="975"/>
      <c r="E657" s="975"/>
      <c r="F657" s="975"/>
    </row>
    <row r="658" spans="1:9" ht="13.2"/>
    <row r="659" spans="1:9" ht="14.4">
      <c r="A659" s="303"/>
      <c r="B659" s="609" t="s">
        <v>124</v>
      </c>
      <c r="D659" s="1043" t="s">
        <v>1557</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124</v>
      </c>
      <c r="D662" s="1013" t="s">
        <v>1814</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124</v>
      </c>
      <c r="C665" s="207"/>
      <c r="D665" s="1044" t="s">
        <v>1558</v>
      </c>
      <c r="E665" s="1044"/>
      <c r="F665" s="1044"/>
      <c r="G665" s="44"/>
    </row>
    <row r="666" spans="1:9" ht="13.2">
      <c r="A666" s="44"/>
      <c r="B666" s="44"/>
      <c r="C666" s="207"/>
      <c r="D666" s="44"/>
      <c r="E666" s="44"/>
      <c r="F666" s="44"/>
      <c r="G666" s="44"/>
      <c r="H666" s="267"/>
      <c r="I666" s="267"/>
    </row>
    <row r="667" spans="1:9" ht="13.2">
      <c r="A667" s="1003" t="s">
        <v>1400</v>
      </c>
      <c r="B667" s="1003"/>
      <c r="C667" s="1003"/>
      <c r="D667" s="1003"/>
      <c r="E667" s="1003"/>
      <c r="F667" s="1003"/>
      <c r="G667" s="1003"/>
    </row>
    <row r="668" spans="1:9" ht="13.2">
      <c r="A668" s="44"/>
      <c r="B668" s="44"/>
      <c r="C668" s="207"/>
      <c r="D668" s="44"/>
      <c r="E668" s="44"/>
      <c r="F668" s="44"/>
      <c r="G668" s="44"/>
    </row>
    <row r="669" spans="1:9" ht="13.2">
      <c r="C669" s="190"/>
      <c r="D669" s="1004" t="s">
        <v>1399</v>
      </c>
      <c r="E669" s="1004"/>
      <c r="F669" s="1004"/>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4" customHeight="1">
      <c r="A672" s="271"/>
      <c r="B672" s="609" t="s">
        <v>1376</v>
      </c>
      <c r="C672" s="207"/>
      <c r="D672" s="972" t="s">
        <v>1877</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1440</v>
      </c>
      <c r="E679" s="1029"/>
      <c r="F679" s="1029"/>
      <c r="G679" s="44"/>
    </row>
    <row r="680" spans="1:7" ht="14.4" hidden="1">
      <c r="A680" s="271"/>
      <c r="B680" s="271"/>
      <c r="C680" s="207"/>
      <c r="D680" s="1024" t="s">
        <v>2148</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1876</v>
      </c>
      <c r="E685" s="1045"/>
      <c r="F685" s="1045"/>
      <c r="G685" s="44"/>
    </row>
    <row r="686" spans="1:7" ht="13.2">
      <c r="A686" s="44"/>
      <c r="B686" s="44"/>
      <c r="C686" s="207"/>
      <c r="D686" s="44"/>
      <c r="E686" s="44"/>
      <c r="F686" s="44"/>
      <c r="G686" s="44"/>
    </row>
    <row r="687" spans="1:7" ht="13.2">
      <c r="A687" s="1003" t="s">
        <v>1401</v>
      </c>
      <c r="B687" s="1003"/>
      <c r="C687" s="1003"/>
      <c r="D687" s="1003"/>
      <c r="E687" s="1003"/>
      <c r="F687" s="1003"/>
      <c r="G687" s="1003"/>
    </row>
    <row r="688" spans="1:7" ht="13.2">
      <c r="A688" s="44"/>
      <c r="B688" s="44"/>
      <c r="C688" s="207"/>
      <c r="D688" s="44"/>
      <c r="E688" s="44"/>
      <c r="F688" s="44"/>
      <c r="G688" s="44"/>
    </row>
    <row r="689" spans="1:7" ht="13.2">
      <c r="C689" s="190"/>
      <c r="D689" s="1004" t="s">
        <v>783</v>
      </c>
      <c r="E689" s="1004"/>
      <c r="F689" s="1004"/>
      <c r="G689" s="44"/>
    </row>
    <row r="690" spans="1:7" ht="13.2">
      <c r="A690" s="190"/>
      <c r="B690" s="190"/>
      <c r="C690" s="190"/>
      <c r="D690" s="1004" t="s">
        <v>871</v>
      </c>
      <c r="E690" s="1004"/>
      <c r="F690" s="1004"/>
      <c r="G690" s="44"/>
    </row>
    <row r="691" spans="1:7" ht="13.2">
      <c r="A691" s="191"/>
      <c r="B691" s="191"/>
      <c r="C691" s="191"/>
      <c r="D691" s="998" t="s">
        <v>1524</v>
      </c>
      <c r="E691" s="998"/>
      <c r="F691" s="998"/>
    </row>
    <row r="692" spans="1:7" ht="14.25" customHeight="1">
      <c r="A692" s="191"/>
      <c r="B692" s="191"/>
      <c r="C692" s="191"/>
    </row>
    <row r="693" spans="1:7" ht="14.4">
      <c r="A693" s="271"/>
      <c r="B693" s="609" t="s">
        <v>1376</v>
      </c>
      <c r="C693" s="191"/>
      <c r="D693" s="998" t="s">
        <v>1116</v>
      </c>
      <c r="E693" s="998"/>
      <c r="F693" s="998"/>
    </row>
    <row r="694" spans="1:7" ht="13.2">
      <c r="A694" s="191"/>
      <c r="B694" s="191"/>
      <c r="C694" s="191"/>
      <c r="D694" s="998" t="s">
        <v>1133</v>
      </c>
      <c r="E694" s="998"/>
      <c r="F694" s="998"/>
    </row>
    <row r="695" spans="1:7" ht="12.75" customHeight="1">
      <c r="A695" s="191"/>
      <c r="B695" s="191"/>
      <c r="C695" s="191"/>
      <c r="E695" s="926" t="s">
        <v>2088</v>
      </c>
      <c r="F695" s="15"/>
    </row>
    <row r="696" spans="1:7" ht="13.2">
      <c r="A696" s="191"/>
      <c r="B696" s="191"/>
      <c r="C696" s="191"/>
      <c r="E696" s="925" t="s">
        <v>2087</v>
      </c>
      <c r="F696" s="15"/>
    </row>
    <row r="697" spans="1:7" ht="13.2">
      <c r="A697" s="191"/>
      <c r="B697" s="191"/>
      <c r="C697" s="191"/>
      <c r="D697" s="212"/>
      <c r="E697" s="212"/>
      <c r="F697" s="212"/>
    </row>
    <row r="698" spans="1:7" ht="14.4">
      <c r="A698" s="271"/>
      <c r="B698" s="609" t="s">
        <v>124</v>
      </c>
      <c r="C698" s="191"/>
      <c r="D698" s="978" t="s">
        <v>2149</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124</v>
      </c>
      <c r="C702" s="191"/>
      <c r="D702" s="998" t="s">
        <v>1174</v>
      </c>
      <c r="E702" s="998"/>
      <c r="F702" s="998"/>
    </row>
    <row r="703" spans="1:7" ht="14.4">
      <c r="A703" s="271"/>
      <c r="B703" s="271"/>
      <c r="C703" s="191"/>
      <c r="D703" s="998" t="s">
        <v>1133</v>
      </c>
      <c r="E703" s="998"/>
      <c r="F703" s="998"/>
    </row>
    <row r="704" spans="1:7" ht="13.2">
      <c r="A704" s="191"/>
      <c r="B704" s="191"/>
      <c r="C704" s="191"/>
      <c r="E704" s="1015" t="s">
        <v>2089</v>
      </c>
      <c r="F704" s="1015"/>
    </row>
    <row r="705" spans="1:6" ht="13.2">
      <c r="A705" s="191"/>
      <c r="B705" s="191"/>
      <c r="C705" s="191"/>
      <c r="D705" s="3"/>
    </row>
    <row r="706" spans="1:6" ht="14.4">
      <c r="A706" s="271"/>
      <c r="B706" s="609" t="s">
        <v>1376</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1376</v>
      </c>
      <c r="C713" s="191"/>
      <c r="D713" s="972" t="s">
        <v>1732</v>
      </c>
      <c r="E713" s="978"/>
      <c r="F713" s="978"/>
    </row>
    <row r="714" spans="1:6" ht="13.2">
      <c r="A714" s="191"/>
      <c r="B714" s="191"/>
      <c r="C714" s="191"/>
      <c r="D714" s="978"/>
      <c r="E714" s="978"/>
      <c r="F714" s="978"/>
    </row>
    <row r="715" spans="1:6" ht="13.2">
      <c r="A715" s="191"/>
      <c r="B715" s="191"/>
      <c r="C715" s="191"/>
    </row>
    <row r="716" spans="1:6" ht="14.4" customHeight="1">
      <c r="A716" s="271"/>
      <c r="B716" s="609" t="s">
        <v>124</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124</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124</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124</v>
      </c>
      <c r="C736" s="191"/>
      <c r="D736" s="972" t="s">
        <v>1922</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124</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124</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1376</v>
      </c>
      <c r="C749" s="191"/>
      <c r="D749" s="972" t="s">
        <v>2215</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1529</v>
      </c>
      <c r="E756" s="1040"/>
      <c r="F756" s="1040"/>
      <c r="H756" s="267"/>
      <c r="I756" s="267"/>
    </row>
    <row r="757" spans="1:9" ht="13.2">
      <c r="A757" s="191"/>
      <c r="B757" s="191"/>
      <c r="C757" s="191"/>
      <c r="D757" s="560"/>
      <c r="H757" s="267"/>
      <c r="I757" s="267"/>
    </row>
    <row r="758" spans="1:9" ht="13.2">
      <c r="A758" s="1023" t="s">
        <v>1428</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2" t="s">
        <v>1451</v>
      </c>
      <c r="E761" s="1002"/>
      <c r="F761" s="1002"/>
      <c r="H761" s="267"/>
      <c r="I761" s="267"/>
    </row>
    <row r="762" spans="1:9" ht="13.2">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1376</v>
      </c>
      <c r="D770" s="1013" t="s">
        <v>1863</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1376</v>
      </c>
      <c r="C775" s="433"/>
      <c r="D775" s="1011" t="s">
        <v>1864</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124</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124</v>
      </c>
      <c r="D782" s="972" t="s">
        <v>1755</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1592</v>
      </c>
      <c r="B786" s="1023"/>
      <c r="C786" s="1023"/>
      <c r="D786" s="1023"/>
      <c r="E786" s="1023"/>
      <c r="F786" s="1023"/>
      <c r="G786" s="1023"/>
      <c r="H786" s="267"/>
      <c r="I786" s="267"/>
    </row>
    <row r="787" spans="1:9" ht="13.2">
      <c r="A787" s="63"/>
      <c r="B787" s="63"/>
      <c r="H787" s="267"/>
      <c r="I787" s="267"/>
    </row>
    <row r="788" spans="1:9" ht="13.65" customHeight="1">
      <c r="A788" s="63"/>
      <c r="B788" s="63"/>
      <c r="D788" s="1051" t="s">
        <v>1593</v>
      </c>
      <c r="E788" s="1051"/>
      <c r="F788" s="1051"/>
      <c r="H788" s="267"/>
      <c r="I788" s="267"/>
    </row>
    <row r="789" spans="1:9" ht="13.2">
      <c r="A789" s="63"/>
      <c r="B789" s="63"/>
      <c r="D789" s="1008" t="s">
        <v>1594</v>
      </c>
      <c r="E789" s="1008"/>
      <c r="F789" s="1008"/>
      <c r="H789" s="267"/>
      <c r="I789" s="267"/>
    </row>
    <row r="790" spans="1:9" ht="13.2">
      <c r="A790" s="63"/>
      <c r="B790" s="63"/>
      <c r="D790" s="420"/>
      <c r="E790" s="420"/>
      <c r="F790" s="420"/>
      <c r="H790" s="267"/>
      <c r="I790" s="267"/>
    </row>
    <row r="791" spans="1:9" ht="13.2">
      <c r="A791" s="63"/>
      <c r="B791" s="609" t="s">
        <v>1376</v>
      </c>
      <c r="D791" s="1024" t="s">
        <v>1595</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124</v>
      </c>
      <c r="C795" s="190"/>
      <c r="D795" s="1011" t="s">
        <v>2210</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124</v>
      </c>
      <c r="C799" s="207"/>
      <c r="D799" s="1011" t="s">
        <v>1697</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2009</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124</v>
      </c>
      <c r="C812" s="207"/>
      <c r="D812" s="1024" t="s">
        <v>1598</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124</v>
      </c>
      <c r="C819" s="207"/>
      <c r="D819" s="1011" t="s">
        <v>1865</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124</v>
      </c>
      <c r="C825" s="207"/>
      <c r="D825" s="1024" t="s">
        <v>1597</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124</v>
      </c>
      <c r="C830" s="207"/>
      <c r="D830" s="1032" t="s">
        <v>1600</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124</v>
      </c>
      <c r="C837" s="207"/>
      <c r="D837" s="1024" t="s">
        <v>1599</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124</v>
      </c>
      <c r="C840" s="207"/>
      <c r="D840" s="1032" t="s">
        <v>1601</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1882</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2" t="s">
        <v>1879</v>
      </c>
      <c r="E846" s="972"/>
      <c r="F846" s="972"/>
      <c r="H846" s="267"/>
      <c r="I846" s="267"/>
    </row>
    <row r="847" spans="1:9" ht="14.4">
      <c r="A847" s="271"/>
      <c r="B847" s="271"/>
      <c r="D847" s="24"/>
      <c r="E847" s="210"/>
      <c r="F847" s="210"/>
      <c r="H847" s="267"/>
      <c r="I847" s="267"/>
    </row>
    <row r="848" spans="1:9" ht="13.2">
      <c r="B848" s="609" t="s">
        <v>1376</v>
      </c>
      <c r="C848" s="207"/>
      <c r="D848" s="978" t="s">
        <v>1454</v>
      </c>
      <c r="E848" s="978"/>
      <c r="F848" s="978"/>
      <c r="H848" s="267"/>
      <c r="I848" s="267"/>
    </row>
    <row r="849" spans="1:9" ht="13.2">
      <c r="A849" s="18"/>
      <c r="B849" s="18"/>
      <c r="C849" s="207"/>
      <c r="D849" s="3" t="s">
        <v>1431</v>
      </c>
      <c r="E849" s="979" t="s">
        <v>2072</v>
      </c>
      <c r="F849" s="979"/>
      <c r="H849" s="267"/>
      <c r="I849" s="267"/>
    </row>
    <row r="850" spans="1:9" ht="13.2">
      <c r="A850" s="18"/>
      <c r="B850" s="18"/>
      <c r="C850" s="207"/>
      <c r="D850" s="213"/>
      <c r="H850" s="267"/>
      <c r="I850" s="267"/>
    </row>
    <row r="851" spans="1:9" ht="13.2">
      <c r="A851" s="18"/>
      <c r="B851" s="609" t="s">
        <v>124</v>
      </c>
      <c r="C851" s="207"/>
      <c r="D851" s="1041" t="s">
        <v>1678</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1376</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124</v>
      </c>
      <c r="C865" s="207"/>
      <c r="D865" s="1005" t="s">
        <v>1456</v>
      </c>
      <c r="E865" s="1005"/>
      <c r="F865" s="1005"/>
      <c r="H865" s="267"/>
      <c r="I865" s="267"/>
    </row>
    <row r="866" spans="1:9" ht="13.2">
      <c r="B866" s="419"/>
      <c r="C866" s="207"/>
      <c r="D866" s="1005"/>
      <c r="E866" s="1005"/>
      <c r="F866" s="1005"/>
      <c r="H866" s="267"/>
      <c r="I866" s="267"/>
    </row>
    <row r="867" spans="1:9" ht="14.25" customHeight="1">
      <c r="A867" s="271"/>
      <c r="C867" s="207"/>
      <c r="D867" s="978" t="s">
        <v>2150</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124</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2074</v>
      </c>
      <c r="F876" s="979"/>
      <c r="H876" s="267"/>
      <c r="I876" s="267"/>
    </row>
    <row r="877" spans="1:9" ht="14.4">
      <c r="A877" s="271"/>
      <c r="B877" s="271"/>
      <c r="C877" s="207"/>
      <c r="D877" s="44"/>
      <c r="H877" s="267"/>
      <c r="I877" s="267"/>
    </row>
    <row r="878" spans="1:9" ht="14.4">
      <c r="A878" s="271"/>
      <c r="B878" s="609" t="s">
        <v>124</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4" t="s">
        <v>1516</v>
      </c>
      <c r="E885" s="1004"/>
      <c r="F885" s="1004"/>
      <c r="G885" s="188"/>
      <c r="H885" s="267"/>
      <c r="I885" s="267"/>
    </row>
    <row r="886" spans="1:9" ht="13.2">
      <c r="C886" s="191"/>
      <c r="D886" s="1049" t="s">
        <v>1880</v>
      </c>
      <c r="E886" s="1050"/>
      <c r="F886" s="1050"/>
      <c r="G886" s="188"/>
      <c r="H886" s="267"/>
      <c r="I886" s="267"/>
    </row>
    <row r="887" spans="1:9" ht="13.2">
      <c r="C887" s="191"/>
      <c r="D887" s="640"/>
      <c r="E887" s="640"/>
      <c r="F887" s="640"/>
      <c r="G887" s="188"/>
      <c r="H887" s="267"/>
      <c r="I887" s="267"/>
    </row>
    <row r="888" spans="1:9" ht="14.4">
      <c r="A888" s="271"/>
      <c r="B888" s="609" t="s">
        <v>1376</v>
      </c>
      <c r="D888" s="998" t="s">
        <v>1476</v>
      </c>
      <c r="E888" s="998"/>
      <c r="F888" s="998"/>
      <c r="G888" s="188"/>
      <c r="H888" s="267"/>
      <c r="I888" s="267"/>
    </row>
    <row r="889" spans="1:9" ht="13.2">
      <c r="D889" s="3" t="s">
        <v>1430</v>
      </c>
      <c r="E889" s="1048" t="s">
        <v>2074</v>
      </c>
      <c r="F889" s="1048"/>
      <c r="G889" s="188"/>
    </row>
    <row r="890" spans="1:9" ht="13.2">
      <c r="D890" s="44"/>
      <c r="E890" s="188"/>
      <c r="F890" s="188"/>
      <c r="G890" s="188"/>
      <c r="H890" s="267"/>
      <c r="I890" s="267"/>
    </row>
    <row r="891" spans="1:9" ht="14.4">
      <c r="A891" s="271"/>
      <c r="B891" s="609" t="s">
        <v>1376</v>
      </c>
      <c r="D891" s="972" t="s">
        <v>1883</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124</v>
      </c>
      <c r="D894" s="1046" t="s">
        <v>1680</v>
      </c>
      <c r="E894" s="1046"/>
      <c r="F894" s="1046"/>
      <c r="G894" s="188"/>
      <c r="H894" s="267"/>
      <c r="I894" s="267"/>
    </row>
    <row r="895" spans="1:9" ht="29.4" customHeight="1">
      <c r="B895" s="565"/>
      <c r="D895" s="1046"/>
      <c r="E895" s="1046"/>
      <c r="F895" s="1046"/>
      <c r="G895" s="188"/>
      <c r="H895" s="267"/>
      <c r="I895" s="267"/>
    </row>
    <row r="896" spans="1:9" ht="14.4">
      <c r="A896" s="271"/>
      <c r="B896"/>
      <c r="D896" s="978" t="s">
        <v>2150</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124</v>
      </c>
      <c r="D903" s="1002" t="s">
        <v>1175</v>
      </c>
      <c r="E903" s="1002"/>
      <c r="F903" s="1002"/>
      <c r="G903" s="188"/>
      <c r="H903" s="267"/>
      <c r="I903" s="267"/>
    </row>
    <row r="904" spans="1:9" ht="14.4">
      <c r="A904" s="271"/>
      <c r="B904" s="271"/>
      <c r="D904" s="1002" t="s">
        <v>1176</v>
      </c>
      <c r="E904" s="1002"/>
      <c r="F904" s="1002"/>
      <c r="G904" s="188"/>
      <c r="H904" s="267"/>
      <c r="I904" s="267"/>
    </row>
    <row r="905" spans="1:9" ht="14.4">
      <c r="A905" s="271"/>
      <c r="B905" s="271"/>
      <c r="D905" s="3" t="s">
        <v>1477</v>
      </c>
      <c r="E905" s="1047" t="s">
        <v>2074</v>
      </c>
      <c r="F905" s="1047"/>
      <c r="G905" s="188"/>
      <c r="H905" s="267"/>
      <c r="I905" s="267"/>
    </row>
    <row r="906" spans="1:9" ht="14.4">
      <c r="A906" s="271"/>
      <c r="B906" s="271"/>
      <c r="D906" s="44"/>
      <c r="E906" s="188"/>
      <c r="F906" s="188"/>
      <c r="G906" s="188"/>
      <c r="H906" s="267"/>
      <c r="I906" s="267"/>
    </row>
    <row r="907" spans="1:9" ht="14.4">
      <c r="A907" s="271"/>
      <c r="B907" s="609" t="s">
        <v>124</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1403</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1634</v>
      </c>
      <c r="E914" s="1029"/>
      <c r="F914" s="1029"/>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65" customHeight="1">
      <c r="A917" s="190"/>
      <c r="B917" s="609" t="s">
        <v>124</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1376</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9" t="s">
        <v>1646</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1376</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1006" t="s">
        <v>1636</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6" t="s">
        <v>1635</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124</v>
      </c>
      <c r="C975" s="207"/>
      <c r="D975" s="1006" t="s">
        <v>1638</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1376</v>
      </c>
      <c r="C981" s="207"/>
      <c r="D981" s="1006" t="s">
        <v>1639</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124</v>
      </c>
      <c r="C985" s="207"/>
      <c r="D985" s="1006" t="s">
        <v>1640</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124</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124</v>
      </c>
      <c r="C991" s="207"/>
      <c r="D991" s="1034" t="s">
        <v>1770</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124</v>
      </c>
      <c r="C996" s="207"/>
      <c r="D996" s="998" t="s">
        <v>2151</v>
      </c>
      <c r="E996" s="998"/>
      <c r="F996" s="998"/>
      <c r="G996" s="188"/>
      <c r="H996" s="267"/>
      <c r="I996" s="267"/>
    </row>
    <row r="997" spans="1:9" ht="13.2">
      <c r="A997" s="207"/>
      <c r="B997" s="207"/>
      <c r="C997" s="207"/>
      <c r="D997" s="44"/>
      <c r="E997" s="188"/>
      <c r="F997" s="188"/>
      <c r="G997" s="188"/>
      <c r="H997" s="267"/>
      <c r="I997" s="267"/>
    </row>
    <row r="998" spans="1:9" ht="13.2">
      <c r="A998" s="207"/>
      <c r="B998" s="609" t="s">
        <v>124</v>
      </c>
      <c r="C998" s="207"/>
      <c r="D998" s="998" t="s">
        <v>2152</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1478</v>
      </c>
      <c r="E1000" s="1004"/>
      <c r="F1000" s="1004"/>
      <c r="G1000" s="188"/>
      <c r="H1000" s="267"/>
      <c r="I1000" s="267"/>
    </row>
    <row r="1001" spans="1:9" ht="13.2">
      <c r="A1001" s="207"/>
      <c r="C1001" s="207"/>
      <c r="D1001" s="192"/>
      <c r="E1001" s="188"/>
      <c r="F1001" s="188"/>
      <c r="G1001" s="188"/>
      <c r="H1001" s="267"/>
      <c r="I1001" s="267"/>
    </row>
    <row r="1002" spans="1:9" ht="14.4">
      <c r="A1002" s="271"/>
      <c r="B1002" s="609" t="s">
        <v>1392</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124</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1479</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1376</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1480</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1376</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1376</v>
      </c>
      <c r="C1068" s="207"/>
      <c r="D1068" s="972" t="s">
        <v>2202</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2" t="s">
        <v>2203</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124</v>
      </c>
      <c r="C1078" s="207"/>
      <c r="D1078" s="1032" t="s">
        <v>1656</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124</v>
      </c>
      <c r="C1082" s="429"/>
      <c r="D1082" s="1033" t="s">
        <v>2153</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1484</v>
      </c>
      <c r="E1086" s="1004"/>
      <c r="F1086" s="1004"/>
      <c r="G1086" s="188"/>
    </row>
    <row r="1087" spans="1:9" ht="13.2">
      <c r="C1087" s="207"/>
      <c r="D1087" s="192"/>
      <c r="E1087" s="188"/>
      <c r="F1087" s="188"/>
      <c r="G1087" s="188"/>
    </row>
    <row r="1088" spans="1:9" ht="13.2">
      <c r="A1088" s="207"/>
      <c r="B1088" s="609" t="s">
        <v>124</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124</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1117</v>
      </c>
      <c r="E1096" s="1004"/>
      <c r="F1096" s="1004"/>
      <c r="G1096" s="188"/>
    </row>
    <row r="1097" spans="1:7" ht="13.2">
      <c r="A1097" s="207"/>
      <c r="B1097" s="207"/>
      <c r="C1097" s="207"/>
      <c r="D1097" s="998" t="s">
        <v>1485</v>
      </c>
      <c r="E1097" s="998"/>
      <c r="F1097" s="998"/>
      <c r="G1097" s="188"/>
    </row>
    <row r="1098" spans="1:7" ht="13.2">
      <c r="A1098" s="207"/>
      <c r="B1098" s="207"/>
      <c r="C1098" s="207"/>
      <c r="D1098" s="419"/>
      <c r="E1098" s="188"/>
      <c r="F1098" s="188"/>
      <c r="G1098" s="188"/>
    </row>
    <row r="1099" spans="1:7" ht="14.4">
      <c r="A1099" s="271"/>
      <c r="B1099" s="609" t="s">
        <v>124</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124</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1486</v>
      </c>
      <c r="E1105" s="1004"/>
      <c r="F1105" s="1004"/>
      <c r="G1105" s="188"/>
    </row>
    <row r="1106" spans="1:7" ht="13.2">
      <c r="A1106" s="207"/>
      <c r="B1106" s="207"/>
      <c r="C1106" s="207"/>
      <c r="D1106" s="192"/>
      <c r="E1106" s="188"/>
      <c r="F1106" s="188"/>
      <c r="G1106" s="188"/>
    </row>
    <row r="1107" spans="1:7" ht="14.4">
      <c r="A1107" s="271"/>
      <c r="B1107" s="609" t="s">
        <v>124</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124</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124</v>
      </c>
      <c r="C1123" s="207"/>
      <c r="D1123" s="1034" t="s">
        <v>1771</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1487</v>
      </c>
      <c r="E1127" s="1004"/>
      <c r="F1127" s="1004"/>
    </row>
    <row r="1128" spans="1:7" ht="13.2">
      <c r="D1128" s="192"/>
    </row>
    <row r="1129" spans="1:7" ht="14.4">
      <c r="A1129" s="271"/>
      <c r="B1129" s="609" t="s">
        <v>1376</v>
      </c>
      <c r="D1129" s="978" t="s">
        <v>1663</v>
      </c>
      <c r="E1129" s="978"/>
      <c r="F1129" s="978"/>
    </row>
    <row r="1130" spans="1:7" ht="13.2">
      <c r="D1130" s="978"/>
      <c r="E1130" s="978"/>
      <c r="F1130" s="978"/>
    </row>
    <row r="1131" spans="1:7" ht="13.2"/>
    <row r="1132" spans="1:7" ht="14.4">
      <c r="A1132" s="271"/>
      <c r="B1132" s="609" t="s">
        <v>124</v>
      </c>
      <c r="D1132" s="978" t="s">
        <v>1664</v>
      </c>
      <c r="E1132" s="978"/>
      <c r="F1132" s="978"/>
    </row>
    <row r="1133" spans="1:7" ht="13.2">
      <c r="D1133" s="978"/>
      <c r="E1133" s="978"/>
      <c r="F1133" s="978"/>
    </row>
    <row r="1134" spans="1:7" ht="13.2"/>
    <row r="1135" spans="1:7" ht="13.2">
      <c r="D1135" s="1004" t="s">
        <v>1488</v>
      </c>
      <c r="E1135" s="1004"/>
      <c r="F1135" s="1004"/>
    </row>
    <row r="1136" spans="1:7" ht="13.2">
      <c r="D1136" s="192"/>
    </row>
    <row r="1137" spans="1:7" ht="14.4">
      <c r="A1137" s="271"/>
      <c r="B1137" s="609" t="s">
        <v>124</v>
      </c>
      <c r="D1137" s="998" t="s">
        <v>1665</v>
      </c>
      <c r="E1137" s="998"/>
      <c r="F1137" s="998"/>
    </row>
    <row r="1138" spans="1:7" ht="13.2"/>
    <row r="1139" spans="1:7" ht="14.4">
      <c r="A1139" s="271"/>
      <c r="B1139" s="609" t="s">
        <v>124</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1676</v>
      </c>
      <c r="E1142" s="1004"/>
      <c r="F1142" s="1004"/>
      <c r="G1142"/>
    </row>
    <row r="1143" spans="1:7" ht="13.2">
      <c r="D1143" s="192"/>
      <c r="G1143"/>
    </row>
    <row r="1144" spans="1:7" ht="14.4" customHeight="1">
      <c r="A1144" s="271"/>
      <c r="B1144" s="609" t="s">
        <v>1376</v>
      </c>
      <c r="D1144" s="972" t="s">
        <v>2204</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1404</v>
      </c>
      <c r="B1159" s="1003"/>
      <c r="C1159" s="1003"/>
      <c r="D1159" s="1003"/>
      <c r="E1159" s="1003"/>
      <c r="F1159" s="1003"/>
      <c r="G1159" s="1003"/>
    </row>
    <row r="1160" spans="1:7" ht="13.2">
      <c r="A1160" s="44"/>
      <c r="B1160" s="44"/>
    </row>
    <row r="1161" spans="1:7" ht="13.2">
      <c r="C1161" s="207"/>
      <c r="D1161" s="1004" t="s">
        <v>1667</v>
      </c>
      <c r="E1161" s="1004"/>
      <c r="F1161" s="1004"/>
    </row>
    <row r="1162" spans="1:7" ht="13.2">
      <c r="A1162" s="190"/>
      <c r="B1162" s="190"/>
      <c r="C1162" s="190"/>
      <c r="D1162" s="997" t="s">
        <v>1492</v>
      </c>
      <c r="E1162" s="998"/>
      <c r="F1162" s="998"/>
    </row>
    <row r="1163" spans="1:7" ht="13.2">
      <c r="A1163" s="190"/>
      <c r="B1163" s="190"/>
      <c r="C1163" s="190"/>
      <c r="F1163" s="188"/>
      <c r="G1163"/>
    </row>
    <row r="1164" spans="1:7" ht="13.65" customHeight="1">
      <c r="B1164" s="609" t="s">
        <v>1376</v>
      </c>
      <c r="D1164" s="995" t="s">
        <v>2091</v>
      </c>
      <c r="E1164" s="995"/>
      <c r="F1164" s="995"/>
      <c r="G1164"/>
    </row>
    <row r="1165" spans="1:7" ht="13.2">
      <c r="D1165" s="995"/>
      <c r="E1165" s="995"/>
      <c r="F1165" s="995"/>
      <c r="G1165"/>
    </row>
    <row r="1166" spans="1:7" ht="13.2">
      <c r="D1166" s="15"/>
      <c r="E1166" s="926"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124</v>
      </c>
      <c r="C1177" s="191"/>
      <c r="D1177" s="972" t="s">
        <v>1756</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124</v>
      </c>
      <c r="D1180" s="998" t="s">
        <v>1668</v>
      </c>
      <c r="E1180" s="998"/>
      <c r="F1180" s="998"/>
      <c r="G1180"/>
    </row>
    <row r="1181" spans="1:7" ht="13.2">
      <c r="G1181"/>
    </row>
    <row r="1182" spans="1:7" ht="14.4">
      <c r="A1182" s="271"/>
      <c r="B1182" s="609" t="s">
        <v>124</v>
      </c>
      <c r="D1182" s="998" t="s">
        <v>1669</v>
      </c>
      <c r="E1182" s="998"/>
      <c r="F1182" s="998"/>
      <c r="G1182"/>
    </row>
    <row r="1183" spans="1:7" ht="13.2">
      <c r="D1183" s="44"/>
      <c r="G1183"/>
    </row>
    <row r="1184" spans="1:7" ht="14.4">
      <c r="A1184" s="271"/>
      <c r="B1184" s="609" t="s">
        <v>1376</v>
      </c>
      <c r="D1184" s="998" t="s">
        <v>1670</v>
      </c>
      <c r="E1184" s="998"/>
      <c r="F1184" s="998"/>
      <c r="G1184"/>
    </row>
    <row r="1185" spans="1:7" ht="13.2">
      <c r="D1185" s="44"/>
      <c r="G1185"/>
    </row>
    <row r="1186" spans="1:7" ht="14.4">
      <c r="A1186" s="271"/>
      <c r="B1186" s="609" t="s">
        <v>1376</v>
      </c>
      <c r="D1186" s="978" t="s">
        <v>1671</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124</v>
      </c>
      <c r="C1189" s="290"/>
      <c r="D1189" s="1024" t="s">
        <v>1672</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124</v>
      </c>
      <c r="C1192" s="290"/>
      <c r="D1192" s="1031" t="s">
        <v>1673</v>
      </c>
      <c r="E1192" s="1031"/>
      <c r="F1192" s="1031"/>
      <c r="G1192" s="292"/>
    </row>
    <row r="1193" spans="1:7" s="448" customFormat="1" ht="13.2">
      <c r="A1193" s="290"/>
      <c r="B1193" s="290"/>
      <c r="C1193" s="290"/>
      <c r="D1193" s="291"/>
      <c r="E1193" s="292"/>
      <c r="F1193" s="292"/>
      <c r="G1193" s="292"/>
    </row>
    <row r="1194" spans="1:7" ht="14.4">
      <c r="A1194" s="271"/>
      <c r="B1194" s="609" t="s">
        <v>124</v>
      </c>
      <c r="D1194" s="998" t="s">
        <v>1674</v>
      </c>
      <c r="E1194" s="998"/>
      <c r="F1194" s="998"/>
    </row>
    <row r="1195" spans="1:7" ht="14.4">
      <c r="A1195" s="271"/>
      <c r="B1195" s="271"/>
      <c r="D1195" s="44"/>
    </row>
    <row r="1196" spans="1:7" ht="14.4">
      <c r="A1196" s="271"/>
      <c r="B1196" s="609" t="s">
        <v>124</v>
      </c>
      <c r="D1196" s="978" t="s">
        <v>1675</v>
      </c>
      <c r="E1196" s="978"/>
      <c r="F1196" s="978"/>
    </row>
    <row r="1197" spans="1:7" ht="14.4">
      <c r="A1197" s="271"/>
      <c r="B1197" s="271"/>
      <c r="D1197" s="978"/>
      <c r="E1197" s="978"/>
      <c r="F1197" s="978"/>
    </row>
    <row r="1198" spans="1:7" ht="13.2"/>
    <row r="1199" spans="1:7" ht="13.2">
      <c r="A1199" s="1003" t="s">
        <v>2010</v>
      </c>
      <c r="B1199" s="1003"/>
      <c r="C1199" s="1003"/>
      <c r="D1199" s="1003"/>
      <c r="E1199" s="1003"/>
      <c r="F1199" s="1003"/>
      <c r="G1199" s="1003"/>
    </row>
    <row r="1200" spans="1:7" ht="13.2"/>
    <row r="1201" spans="1:7" ht="13.2">
      <c r="A1201" s="1003" t="s">
        <v>1405</v>
      </c>
      <c r="B1201" s="1003"/>
      <c r="C1201" s="1003"/>
      <c r="D1201" s="1003"/>
      <c r="E1201" s="1003"/>
      <c r="F1201" s="1003"/>
      <c r="G1201" s="1003"/>
    </row>
    <row r="1202" spans="1:7" ht="13.2"/>
    <row r="1203" spans="1:7" ht="13.2">
      <c r="D1203" s="1029" t="s">
        <v>1511</v>
      </c>
      <c r="E1203" s="1029"/>
      <c r="F1203" s="1029"/>
    </row>
    <row r="1204" spans="1:7" ht="13.2">
      <c r="D1204" s="1030" t="s">
        <v>1916</v>
      </c>
      <c r="E1204" s="1030"/>
      <c r="F1204" s="1030"/>
    </row>
    <row r="1205" spans="1:7" ht="13.2">
      <c r="A1205" s="190"/>
      <c r="B1205" s="190"/>
      <c r="C1205" s="190"/>
    </row>
    <row r="1206" spans="1:7" ht="14.4">
      <c r="A1206" s="271"/>
      <c r="B1206" s="271"/>
      <c r="C1206" s="191"/>
      <c r="D1206" s="1029" t="s">
        <v>1512</v>
      </c>
      <c r="E1206" s="1029"/>
      <c r="F1206" s="1029"/>
    </row>
    <row r="1207" spans="1:7" ht="13.2">
      <c r="B1207" s="609" t="s">
        <v>1376</v>
      </c>
      <c r="D1207" s="1031" t="s">
        <v>1513</v>
      </c>
      <c r="E1207" s="1031"/>
      <c r="F1207" s="1031"/>
    </row>
    <row r="1208" spans="1:7" ht="13.2">
      <c r="D1208" s="1030" t="s">
        <v>1917</v>
      </c>
      <c r="E1208" s="1030"/>
      <c r="F1208" s="1030"/>
    </row>
    <row r="1209" spans="1:7" ht="13.2">
      <c r="G1209"/>
    </row>
    <row r="1210" spans="1:7" ht="12.75" customHeight="1">
      <c r="B1210" s="609" t="s">
        <v>124</v>
      </c>
      <c r="D1210" s="1011" t="s">
        <v>1834</v>
      </c>
      <c r="E1210" s="1011"/>
      <c r="F1210" s="1011"/>
      <c r="G1210"/>
    </row>
    <row r="1211" spans="1:7" ht="13.2">
      <c r="D1211" s="1011"/>
      <c r="E1211" s="1011"/>
      <c r="F1211" s="1011"/>
      <c r="G1211"/>
    </row>
    <row r="1212" spans="1:7" ht="13.2">
      <c r="G1212"/>
    </row>
    <row r="1213" spans="1:7" ht="12.75" customHeight="1"/>
    <row r="1214" spans="1:7" ht="13.2">
      <c r="A1214" s="1003" t="s">
        <v>1407</v>
      </c>
      <c r="B1214" s="1003"/>
      <c r="C1214" s="1003"/>
      <c r="D1214" s="1003"/>
      <c r="E1214" s="1003"/>
      <c r="F1214" s="1003"/>
      <c r="G1214" s="1003"/>
    </row>
    <row r="1215" spans="1:7" ht="13.2">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4">
      <c r="A1219" s="271"/>
      <c r="B1219" s="609" t="s">
        <v>124</v>
      </c>
      <c r="D1219" s="1002" t="s">
        <v>1013</v>
      </c>
      <c r="E1219" s="1002"/>
      <c r="F1219" s="1002"/>
    </row>
    <row r="1220" spans="1:7" ht="13.2">
      <c r="D1220" s="998" t="s">
        <v>1133</v>
      </c>
      <c r="E1220" s="998"/>
      <c r="F1220" s="998"/>
    </row>
    <row r="1221" spans="1:7" ht="13.2">
      <c r="E1221" s="1015" t="s">
        <v>2093</v>
      </c>
      <c r="F1221" s="1015"/>
    </row>
    <row r="1222" spans="1:7" ht="13.2">
      <c r="D1222" s="3"/>
    </row>
    <row r="1223" spans="1:7" ht="13.2">
      <c r="D1223" s="1028" t="s">
        <v>1273</v>
      </c>
      <c r="E1223" s="1028"/>
      <c r="F1223" s="1028"/>
    </row>
    <row r="1224" spans="1:7" ht="13.2">
      <c r="B1224" s="609" t="s">
        <v>124</v>
      </c>
      <c r="D1224" s="972" t="s">
        <v>2094</v>
      </c>
      <c r="E1224" s="978"/>
      <c r="F1224" s="978"/>
      <c r="G1224"/>
    </row>
    <row r="1225" spans="1:7" ht="13.2">
      <c r="D1225" s="978"/>
      <c r="E1225" s="978"/>
      <c r="F1225" s="978"/>
      <c r="G1225"/>
    </row>
    <row r="1226" spans="1:7" ht="13.2">
      <c r="D1226" s="501" t="s">
        <v>1276</v>
      </c>
      <c r="E1226"/>
      <c r="F1226"/>
      <c r="G1226"/>
    </row>
    <row r="1227" spans="1:7" ht="13.65" customHeight="1">
      <c r="D1227" s="972" t="s">
        <v>2095</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1016</v>
      </c>
      <c r="E1231" s="1015"/>
      <c r="F1231" s="1015"/>
      <c r="G1231"/>
    </row>
    <row r="1232" spans="1:7" ht="13.2">
      <c r="B1232" s="609" t="s">
        <v>124</v>
      </c>
      <c r="D1232" s="1002" t="s">
        <v>1274</v>
      </c>
      <c r="E1232" s="1002"/>
      <c r="F1232" s="1002"/>
      <c r="G1232"/>
    </row>
    <row r="1233" spans="1:7" ht="13.2">
      <c r="E1233"/>
      <c r="F1233"/>
      <c r="G1233"/>
    </row>
    <row r="1234" spans="1:7" ht="13.2">
      <c r="D1234" s="1010" t="s">
        <v>1275</v>
      </c>
      <c r="E1234" s="1010"/>
      <c r="F1234" s="1010"/>
      <c r="G1234"/>
    </row>
    <row r="1235" spans="1:7" ht="13.2">
      <c r="D1235" s="3" t="s">
        <v>1014</v>
      </c>
      <c r="E1235"/>
      <c r="F1235"/>
      <c r="G1235"/>
    </row>
    <row r="1236" spans="1:7" ht="14.4" customHeight="1">
      <c r="A1236" s="271"/>
      <c r="B1236" s="609" t="s">
        <v>124</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1438</v>
      </c>
      <c r="B1247" s="1003"/>
      <c r="C1247" s="1003"/>
      <c r="D1247" s="1003"/>
      <c r="E1247" s="1003"/>
      <c r="F1247" s="1003"/>
      <c r="G1247" s="1003"/>
    </row>
    <row r="1248" spans="1:7" ht="13.2">
      <c r="A1248" s="44"/>
      <c r="B1248" s="44"/>
    </row>
    <row r="1249" spans="1:7" ht="13.2">
      <c r="A1249" s="44"/>
      <c r="B1249" s="44"/>
      <c r="D1249" s="1012" t="s">
        <v>1439</v>
      </c>
      <c r="E1249" s="1012"/>
      <c r="F1249" s="1012"/>
    </row>
    <row r="1250" spans="1:7" ht="13.2">
      <c r="A1250" s="268"/>
      <c r="B1250" s="268"/>
      <c r="C1250" s="268"/>
      <c r="D1250" s="1002" t="s">
        <v>1452</v>
      </c>
      <c r="E1250" s="1002"/>
      <c r="F1250" s="1002"/>
      <c r="G1250" s="269"/>
    </row>
    <row r="1251" spans="1:7" ht="10.5" customHeight="1"/>
    <row r="1252" spans="1:7" ht="14.4">
      <c r="A1252" s="271"/>
      <c r="B1252" s="609" t="s">
        <v>124</v>
      </c>
      <c r="D1252" s="1002" t="s">
        <v>1134</v>
      </c>
      <c r="E1252" s="1002"/>
      <c r="F1252" s="1002"/>
    </row>
    <row r="1253" spans="1:7" ht="13.2">
      <c r="E1253" s="1015" t="s">
        <v>2096</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969" zoomScaleNormal="100" zoomScaleSheetLayoutView="100" workbookViewId="0">
      <selection activeCell="Q621" sqref="Q621:S621"/>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8">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3"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 customHeight="1">
      <c r="A10" s="1062" t="s">
        <v>2300</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 customHeight="1">
      <c r="A11" s="1063" t="s">
        <v>2320</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 customHeight="1">
      <c r="A12" s="968" t="s">
        <v>1873</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1" t="s">
        <v>2321</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 customHeight="1"/>
    <row r="17" spans="1:46" ht="12.9" customHeight="1">
      <c r="A17" s="63" t="s">
        <v>793</v>
      </c>
      <c r="C17" s="5"/>
      <c r="D17" s="5"/>
      <c r="E17" s="5"/>
      <c r="F17" s="5"/>
      <c r="G17" s="5"/>
      <c r="H17" s="1314" t="s">
        <v>2322</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17" t="s">
        <v>1352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9">
        <f>ROUND('Basis &amp; Credits'!AB55,0)</f>
        <v>2500000</v>
      </c>
      <c r="N25" s="1419"/>
      <c r="O25" s="1419"/>
      <c r="P25" s="1419"/>
      <c r="Q25" s="1419"/>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9">
        <f>'Basis &amp; Credits'!AB76</f>
        <v>8333321</v>
      </c>
      <c r="N27" s="1419"/>
      <c r="O27" s="1419"/>
      <c r="P27" s="1419"/>
      <c r="Q27" s="1419"/>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 customHeight="1">
      <c r="A33" s="312" t="s">
        <v>2249</v>
      </c>
      <c r="B33"/>
      <c r="C33" s="102"/>
      <c r="D33" s="102"/>
      <c r="E33" s="102"/>
      <c r="F33" s="102"/>
      <c r="G33" s="102"/>
      <c r="H33" s="102"/>
      <c r="I33" s="102"/>
      <c r="J33" s="102"/>
      <c r="K33" s="102"/>
      <c r="L33" s="102"/>
      <c r="M33" s="102"/>
      <c r="N33" s="102"/>
      <c r="O33" s="1115" t="s">
        <v>108</v>
      </c>
      <c r="P33" s="1115"/>
      <c r="Q33" s="1064" t="s">
        <v>2252</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2256</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2258</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2261</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2264</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2265</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2269</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2270</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2271</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3">
        <v>4</v>
      </c>
      <c r="H115" s="1113"/>
      <c r="I115" s="41" t="s">
        <v>412</v>
      </c>
      <c r="J115" s="41"/>
      <c r="L115" s="1342" t="s">
        <v>2469</v>
      </c>
      <c r="M115" s="1343"/>
      <c r="N115" s="1343"/>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2" t="s">
        <v>109</v>
      </c>
      <c r="D117" s="1343"/>
      <c r="E117" s="1343"/>
      <c r="F117" s="1343"/>
      <c r="G117" s="1343"/>
      <c r="H117" s="1343"/>
      <c r="I117" s="1343"/>
      <c r="J117" s="1343"/>
      <c r="K117" s="1343"/>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4" t="s">
        <v>2323</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4" t="s">
        <v>2324</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314" t="s">
        <v>2325</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 customHeight="1">
      <c r="D157" s="339" t="s">
        <v>543</v>
      </c>
      <c r="O157" s="1316" t="s">
        <v>2473</v>
      </c>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t="s">
        <v>709</v>
      </c>
      <c r="BN157" s="30" t="s">
        <v>422</v>
      </c>
      <c r="BT157" t="s">
        <v>28</v>
      </c>
    </row>
    <row r="158" spans="1:72" ht="12.9" customHeight="1">
      <c r="D158" s="12" t="s">
        <v>544</v>
      </c>
      <c r="F158" s="12"/>
      <c r="G158" s="12"/>
      <c r="H158" s="12"/>
      <c r="I158" s="12"/>
      <c r="J158" s="12"/>
      <c r="K158" s="12"/>
      <c r="L158" s="12"/>
      <c r="M158" s="12"/>
      <c r="N158" s="12"/>
      <c r="O158" s="1340" t="s">
        <v>545</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30" t="s">
        <v>423</v>
      </c>
      <c r="BT158" t="s">
        <v>29</v>
      </c>
    </row>
    <row r="159" spans="1:72" ht="12.9" customHeight="1">
      <c r="D159" t="s">
        <v>647</v>
      </c>
      <c r="O159" s="1056" t="s">
        <v>2326</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 customHeight="1">
      <c r="D160" t="s">
        <v>648</v>
      </c>
      <c r="O160" s="1314" t="s">
        <v>2327</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 customHeight="1">
      <c r="D161" t="s">
        <v>649</v>
      </c>
      <c r="O161" s="1328">
        <v>95969</v>
      </c>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317" t="s">
        <v>2328</v>
      </c>
      <c r="P162" s="1317"/>
      <c r="Q162" s="1317"/>
      <c r="R162" s="1317"/>
      <c r="S162" s="1317"/>
      <c r="T162" s="1317"/>
      <c r="V162" s="179" t="s">
        <v>12</v>
      </c>
      <c r="W162" s="1329">
        <v>160</v>
      </c>
      <c r="X162" s="1329"/>
      <c r="Y162" s="14"/>
      <c r="Z162" s="14"/>
      <c r="AA162" s="14"/>
      <c r="AB162" s="14"/>
      <c r="AC162" s="14"/>
      <c r="AD162" s="14"/>
      <c r="AE162" s="14"/>
      <c r="AF162" s="14"/>
      <c r="BJ162" t="s">
        <v>108</v>
      </c>
      <c r="BN162" s="30" t="s">
        <v>77</v>
      </c>
      <c r="BT162" t="s">
        <v>387</v>
      </c>
    </row>
    <row r="163" spans="1:72" ht="12.9" customHeight="1">
      <c r="D163" t="s">
        <v>651</v>
      </c>
      <c r="O163" s="1317"/>
      <c r="P163" s="1317"/>
      <c r="Q163" s="1317"/>
      <c r="R163" s="1317"/>
      <c r="S163" s="1317"/>
      <c r="T163" s="1317"/>
      <c r="U163" s="14"/>
      <c r="V163" s="14"/>
      <c r="W163" s="14"/>
      <c r="X163" s="14"/>
      <c r="Y163" s="14"/>
      <c r="Z163" s="14"/>
      <c r="AA163" s="14"/>
      <c r="AB163" s="14"/>
      <c r="AC163" s="14"/>
      <c r="AD163" s="14"/>
      <c r="AE163" s="14"/>
      <c r="AF163" s="14"/>
      <c r="BN163" s="30" t="s">
        <v>476</v>
      </c>
      <c r="BT163" t="s">
        <v>388</v>
      </c>
    </row>
    <row r="164" spans="1:72" ht="12.9" customHeight="1">
      <c r="D164" t="s">
        <v>652</v>
      </c>
      <c r="O164" s="1060" t="s">
        <v>2474</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6" t="s">
        <v>2305</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9" customFormat="1" ht="12.9"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59"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41" t="s">
        <v>505</v>
      </c>
      <c r="K173" s="1341"/>
      <c r="L173" s="1341"/>
      <c r="M173" s="1341"/>
      <c r="N173" s="1341"/>
      <c r="O173" s="1341"/>
      <c r="P173" s="1341"/>
      <c r="Q173" s="1341"/>
      <c r="R173" s="1341"/>
      <c r="S173" s="1341"/>
      <c r="U173" s="32"/>
      <c r="X173" s="32"/>
      <c r="BN173" s="30" t="s">
        <v>491</v>
      </c>
      <c r="BT173" t="s">
        <v>398</v>
      </c>
    </row>
    <row r="174" spans="1:72" ht="12.9" customHeight="1">
      <c r="C174" s="31"/>
      <c r="D174" t="s">
        <v>438</v>
      </c>
      <c r="U174" s="1115" t="s">
        <v>108</v>
      </c>
      <c r="V174" s="1115"/>
      <c r="BN174" s="30" t="s">
        <v>594</v>
      </c>
      <c r="BT174" t="s">
        <v>399</v>
      </c>
    </row>
    <row r="175" spans="1:72" ht="12.9" customHeight="1">
      <c r="C175" s="12"/>
      <c r="D175" s="33"/>
      <c r="E175" t="s">
        <v>230</v>
      </c>
      <c r="O175" s="34"/>
      <c r="P175" t="s">
        <v>2104</v>
      </c>
      <c r="T175" s="34" t="s">
        <v>231</v>
      </c>
      <c r="U175" s="1100">
        <v>24</v>
      </c>
      <c r="V175" s="1100"/>
      <c r="W175" s="1" t="s">
        <v>232</v>
      </c>
      <c r="X175" s="1344">
        <v>13</v>
      </c>
      <c r="Y175" s="1344"/>
      <c r="BN175" s="30" t="s">
        <v>595</v>
      </c>
      <c r="BT175" t="s">
        <v>400</v>
      </c>
    </row>
    <row r="176" spans="1:72" ht="12.9" customHeight="1">
      <c r="C176" s="31"/>
      <c r="D176" t="s">
        <v>279</v>
      </c>
      <c r="U176" s="1115" t="s">
        <v>482</v>
      </c>
      <c r="V176" s="1115"/>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39" t="s">
        <v>231</v>
      </c>
      <c r="J178" s="1332"/>
      <c r="K178" s="1332"/>
      <c r="L178" s="370" t="s">
        <v>232</v>
      </c>
      <c r="M178" s="1333"/>
      <c r="N178" s="1112"/>
      <c r="O178" s="361"/>
      <c r="P178" s="361"/>
      <c r="Q178" s="361"/>
      <c r="R178" s="361"/>
      <c r="U178" s="361" t="s">
        <v>1233</v>
      </c>
      <c r="V178" s="361"/>
      <c r="W178" s="361"/>
      <c r="X178" s="361"/>
      <c r="Y178" s="361"/>
      <c r="Z178" s="361"/>
      <c r="AA178" s="361"/>
      <c r="AB178" s="361"/>
      <c r="AD178" s="1334"/>
      <c r="AE178" s="1334"/>
      <c r="AF178" s="1334"/>
      <c r="AG178" s="1334"/>
      <c r="AH178" s="1334"/>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15" t="s">
        <v>482</v>
      </c>
      <c r="Z180" s="1318"/>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84" t="str">
        <f>H17</f>
        <v>Clark Road Apartments</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 customHeight="1">
      <c r="C185" s="29"/>
      <c r="D185" t="s">
        <v>429</v>
      </c>
      <c r="I185" s="1054" t="s">
        <v>2329</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 customHeight="1">
      <c r="C186" s="29"/>
      <c r="E186" t="s">
        <v>62</v>
      </c>
      <c r="BN186" s="30" t="s">
        <v>576</v>
      </c>
      <c r="BT186" t="s">
        <v>840</v>
      </c>
    </row>
    <row r="187" spans="1:72" ht="12.9" customHeight="1">
      <c r="C187" s="29"/>
      <c r="E187" s="1335"/>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577</v>
      </c>
      <c r="BT187" t="s">
        <v>841</v>
      </c>
    </row>
    <row r="188" spans="1:72" ht="12.9"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579</v>
      </c>
      <c r="BT188" t="s">
        <v>842</v>
      </c>
    </row>
    <row r="189" spans="1:72" ht="12.9" customHeight="1">
      <c r="C189" s="29"/>
      <c r="D189" t="s">
        <v>430</v>
      </c>
      <c r="I189" s="1056" t="s">
        <v>2327</v>
      </c>
      <c r="J189" s="1056"/>
      <c r="K189" s="1056"/>
      <c r="L189" s="1056"/>
      <c r="M189" s="1056"/>
      <c r="N189" s="1056"/>
      <c r="O189" s="1056"/>
      <c r="P189" s="1056"/>
      <c r="Q189" t="s">
        <v>432</v>
      </c>
      <c r="T189" s="1056" t="s">
        <v>385</v>
      </c>
      <c r="U189" s="1056"/>
      <c r="V189" s="1056"/>
      <c r="W189" s="1056"/>
      <c r="X189" s="1056"/>
      <c r="Y189" s="1056"/>
      <c r="Z189" s="1056"/>
      <c r="AA189" s="1056"/>
      <c r="AB189" s="1056"/>
      <c r="AC189" s="1056"/>
      <c r="AD189" s="1056"/>
      <c r="AE189" s="1056"/>
      <c r="BC189" t="s">
        <v>79</v>
      </c>
      <c r="BH189" s="41" t="s">
        <v>124</v>
      </c>
      <c r="BN189" s="30" t="s">
        <v>580</v>
      </c>
      <c r="BT189" t="s">
        <v>109</v>
      </c>
    </row>
    <row r="190" spans="1:72" ht="12.9" customHeight="1">
      <c r="C190" s="29"/>
      <c r="D190" t="s">
        <v>433</v>
      </c>
      <c r="I190" s="1054">
        <v>95969</v>
      </c>
      <c r="J190" s="1054"/>
      <c r="K190" s="1054"/>
      <c r="L190" s="1054"/>
      <c r="M190" s="1054"/>
      <c r="N190" s="1054"/>
      <c r="O190" t="s">
        <v>435</v>
      </c>
      <c r="T190" s="1330">
        <v>60070019003</v>
      </c>
      <c r="U190" s="1330"/>
      <c r="V190" s="1330"/>
      <c r="W190" s="1330"/>
      <c r="X190" s="1330"/>
      <c r="Y190" s="1330"/>
      <c r="Z190" s="1330"/>
      <c r="AA190" s="1330"/>
      <c r="AB190" s="1330"/>
      <c r="AC190" s="1330"/>
      <c r="AD190" s="1330"/>
      <c r="AE190" s="1330"/>
      <c r="BC190" t="s">
        <v>663</v>
      </c>
      <c r="BH190" t="s">
        <v>663</v>
      </c>
      <c r="BN190" s="30" t="s">
        <v>421</v>
      </c>
      <c r="BT190" t="s">
        <v>110</v>
      </c>
    </row>
    <row r="191" spans="1:72" ht="12.9" customHeight="1">
      <c r="C191" s="29"/>
      <c r="D191" t="s">
        <v>81</v>
      </c>
      <c r="N191" s="1335" t="s">
        <v>2330</v>
      </c>
      <c r="O191" s="1335"/>
      <c r="P191" s="1335"/>
      <c r="Q191" s="1335"/>
      <c r="R191" s="1335"/>
      <c r="S191" s="1335"/>
      <c r="T191" s="1335"/>
      <c r="U191" s="1335"/>
      <c r="V191" s="1335"/>
      <c r="W191" s="1335"/>
      <c r="X191" s="1335"/>
      <c r="Y191" s="1335"/>
      <c r="Z191" s="1335"/>
      <c r="AA191" s="1335"/>
      <c r="AB191" s="1335"/>
      <c r="AC191" s="1335"/>
      <c r="AD191" s="1335"/>
      <c r="AE191" s="1335"/>
      <c r="BC191" t="s">
        <v>1424</v>
      </c>
      <c r="BH191" t="s">
        <v>1424</v>
      </c>
      <c r="BN191" s="30" t="s">
        <v>582</v>
      </c>
      <c r="BT191" t="s">
        <v>111</v>
      </c>
    </row>
    <row r="192" spans="1:72" ht="12.9"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664</v>
      </c>
      <c r="BH192" t="s">
        <v>615</v>
      </c>
      <c r="BN192" s="30" t="s">
        <v>583</v>
      </c>
      <c r="BT192" t="s">
        <v>112</v>
      </c>
    </row>
    <row r="193" spans="1:73" ht="12.9" customHeight="1">
      <c r="C193" s="29"/>
      <c r="D193" t="s">
        <v>436</v>
      </c>
      <c r="T193" s="1115" t="s">
        <v>482</v>
      </c>
      <c r="U193" s="1115"/>
      <c r="W193" s="41" t="s">
        <v>1886</v>
      </c>
      <c r="AA193" s="1323"/>
      <c r="AB193" s="1323"/>
      <c r="AC193" s="1323"/>
      <c r="BC193" t="s">
        <v>564</v>
      </c>
      <c r="BH193" s="5" t="s">
        <v>1429</v>
      </c>
      <c r="BN193" s="30" t="s">
        <v>584</v>
      </c>
      <c r="BT193" t="s">
        <v>113</v>
      </c>
    </row>
    <row r="194" spans="1:73" ht="12.9" customHeight="1">
      <c r="C194" s="29"/>
      <c r="D194" t="s">
        <v>118</v>
      </c>
      <c r="T194" s="1142" t="s">
        <v>482</v>
      </c>
      <c r="U194" s="1142"/>
      <c r="W194" t="s">
        <v>63</v>
      </c>
      <c r="AI194" s="1115" t="s">
        <v>482</v>
      </c>
      <c r="AJ194" s="1115"/>
      <c r="AX194" s="5" t="s">
        <v>124</v>
      </c>
      <c r="BC194" t="s">
        <v>615</v>
      </c>
      <c r="BN194" s="30" t="s">
        <v>753</v>
      </c>
      <c r="BT194" t="s">
        <v>114</v>
      </c>
    </row>
    <row r="195" spans="1:73" ht="12.9" customHeight="1">
      <c r="C195" s="29"/>
      <c r="D195" s="41" t="s">
        <v>1734</v>
      </c>
      <c r="T195" s="1142" t="s">
        <v>482</v>
      </c>
      <c r="U195" s="1142"/>
      <c r="X195" s="797" t="s">
        <v>2106</v>
      </c>
      <c r="AX195" s="5" t="s">
        <v>1150</v>
      </c>
      <c r="BN195" s="30" t="s">
        <v>754</v>
      </c>
      <c r="BT195" t="s">
        <v>115</v>
      </c>
    </row>
    <row r="196" spans="1:73" ht="12.9" customHeight="1">
      <c r="C196" s="29"/>
      <c r="D196" s="5" t="s">
        <v>1155</v>
      </c>
      <c r="T196" s="1142" t="s">
        <v>482</v>
      </c>
      <c r="U196" s="1142"/>
      <c r="AK196" s="1322"/>
      <c r="AL196" s="1322"/>
      <c r="AX196" s="41" t="s">
        <v>2199</v>
      </c>
      <c r="BN196" s="30" t="s">
        <v>755</v>
      </c>
      <c r="BT196" t="s">
        <v>116</v>
      </c>
    </row>
    <row r="197" spans="1:73" ht="12.9" customHeight="1">
      <c r="C197" s="29"/>
      <c r="D197" s="41" t="s">
        <v>1887</v>
      </c>
      <c r="T197" s="1115" t="s">
        <v>482</v>
      </c>
      <c r="U197" s="1115"/>
      <c r="AX197" s="5" t="s">
        <v>1151</v>
      </c>
      <c r="BC197" t="s">
        <v>79</v>
      </c>
      <c r="BN197" s="30" t="s">
        <v>756</v>
      </c>
      <c r="BT197" t="s">
        <v>117</v>
      </c>
    </row>
    <row r="198" spans="1:73" ht="12.9" customHeight="1">
      <c r="C198" s="29"/>
      <c r="D198" s="41" t="s">
        <v>1915</v>
      </c>
      <c r="W198" s="1319" t="s">
        <v>482</v>
      </c>
      <c r="X198" s="1115"/>
      <c r="AX198" s="5" t="s">
        <v>1152</v>
      </c>
      <c r="BC198" t="s">
        <v>1103</v>
      </c>
      <c r="BN198" s="30" t="s">
        <v>757</v>
      </c>
      <c r="BT198" t="s">
        <v>803</v>
      </c>
    </row>
    <row r="199" spans="1:73" ht="12.9" customHeight="1">
      <c r="C199" s="29"/>
      <c r="L199" s="309"/>
      <c r="M199" s="309"/>
      <c r="N199" s="309"/>
      <c r="O199" s="309"/>
      <c r="P199" s="309"/>
      <c r="Q199" s="921" t="s">
        <v>2107</v>
      </c>
      <c r="R199" s="1314" t="s">
        <v>2018</v>
      </c>
      <c r="S199" s="1314"/>
      <c r="T199" s="1314"/>
      <c r="U199" s="1314"/>
      <c r="V199" s="1314"/>
      <c r="W199" s="1314"/>
      <c r="X199" s="1314"/>
      <c r="Y199" s="1314"/>
      <c r="Z199" s="1314"/>
      <c r="AA199" s="1314"/>
      <c r="AB199" s="1314"/>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2290</v>
      </c>
      <c r="BC200" s="41" t="s">
        <v>2056</v>
      </c>
      <c r="BN200" s="266" t="s">
        <v>658</v>
      </c>
      <c r="BO200" s="21"/>
      <c r="BP200" s="40"/>
      <c r="BQ200" s="40"/>
      <c r="BR200" s="40"/>
      <c r="BS200" s="40"/>
      <c r="BT200" s="40" t="s">
        <v>805</v>
      </c>
    </row>
    <row r="201" spans="1:73" ht="12.9" customHeight="1">
      <c r="C201" s="29"/>
      <c r="G201" s="894"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84" t="str">
        <f>IF(AND(M25&gt;0,M27&gt;0),"Federal and State","Federal Only")</f>
        <v>Federal and State</v>
      </c>
      <c r="E203" s="1184"/>
      <c r="F203" s="1184"/>
      <c r="G203" s="1184"/>
      <c r="H203" s="1184"/>
      <c r="I203" s="1184"/>
      <c r="J203" s="1184"/>
      <c r="K203" s="1184"/>
      <c r="L203" s="1184"/>
      <c r="M203" s="1184"/>
      <c r="P203" s="1327">
        <f>M25</f>
        <v>2500000</v>
      </c>
      <c r="Q203" s="1327"/>
      <c r="R203" s="1327"/>
      <c r="S203" s="1327"/>
      <c r="T203" s="1327"/>
      <c r="U203" s="1327"/>
      <c r="W203" s="1327">
        <f>M27</f>
        <v>8333321</v>
      </c>
      <c r="X203" s="1327"/>
      <c r="Y203" s="1327"/>
      <c r="Z203" s="1327"/>
      <c r="AA203" s="1327"/>
      <c r="AB203" s="1327"/>
      <c r="AV203" t="s">
        <v>124</v>
      </c>
      <c r="AX203" s="5" t="s">
        <v>564</v>
      </c>
      <c r="BC203" t="s">
        <v>1434</v>
      </c>
      <c r="BN203" s="30" t="s">
        <v>661</v>
      </c>
      <c r="BT203" s="40" t="s">
        <v>808</v>
      </c>
      <c r="BU203" s="21"/>
    </row>
    <row r="204" spans="1:73" ht="12.9" customHeight="1">
      <c r="C204" s="29"/>
      <c r="P204" s="1421" t="s">
        <v>175</v>
      </c>
      <c r="Q204" s="1421"/>
      <c r="R204" s="1421"/>
      <c r="S204" s="1421"/>
      <c r="T204" s="1421"/>
      <c r="U204" s="1421"/>
      <c r="V204" s="36"/>
      <c r="W204" s="1421" t="s">
        <v>176</v>
      </c>
      <c r="X204" s="1421"/>
      <c r="Y204" s="1421"/>
      <c r="Z204" s="1421"/>
      <c r="AA204" s="1421"/>
      <c r="AB204" s="1421"/>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3"/>
      <c r="Z207" s="804"/>
      <c r="AA207" s="804"/>
      <c r="AB207" s="804"/>
      <c r="AC207" s="804"/>
      <c r="AD207" s="804"/>
      <c r="AE207" s="804"/>
      <c r="AF207" s="804"/>
      <c r="AG207" s="804"/>
      <c r="AH207" s="804"/>
      <c r="AI207" s="804"/>
      <c r="AJ207" s="804"/>
      <c r="AK207" s="805"/>
      <c r="BC207" t="s">
        <v>2291</v>
      </c>
      <c r="BN207" s="30" t="s">
        <v>1</v>
      </c>
      <c r="BT207" s="40" t="s">
        <v>811</v>
      </c>
    </row>
    <row r="208" spans="1:73" ht="12.9" customHeight="1">
      <c r="C208" s="29"/>
      <c r="D208" s="1053" t="s">
        <v>2331</v>
      </c>
      <c r="E208" s="1053"/>
      <c r="F208" s="1053"/>
      <c r="G208" s="1053"/>
      <c r="H208" s="1053"/>
      <c r="I208" s="1053"/>
      <c r="J208" s="1053"/>
      <c r="K208" s="1053"/>
      <c r="L208" s="1053"/>
      <c r="M208" s="1053"/>
      <c r="X208" s="803"/>
      <c r="Y208" s="914"/>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4"/>
      <c r="Z210" s="804"/>
      <c r="AA210" s="804"/>
      <c r="AB210" s="804"/>
      <c r="AC210" s="804"/>
      <c r="AD210" s="804"/>
      <c r="AE210" s="804"/>
      <c r="AF210" s="804"/>
      <c r="AG210" s="804"/>
      <c r="AH210" s="804"/>
      <c r="AI210" s="804"/>
      <c r="AJ210" s="804"/>
      <c r="AK210" s="805"/>
      <c r="BN210" s="30" t="s">
        <v>4</v>
      </c>
      <c r="BT210" s="40" t="s">
        <v>814</v>
      </c>
    </row>
    <row r="211" spans="1:72" ht="12.9" customHeight="1">
      <c r="C211" s="29"/>
      <c r="D211" s="1314" t="s">
        <v>2290</v>
      </c>
      <c r="E211" s="1053"/>
      <c r="F211" s="1053"/>
      <c r="G211" s="1053"/>
      <c r="H211" s="1053"/>
      <c r="I211" s="1053"/>
      <c r="J211" s="1053"/>
      <c r="K211" s="1053"/>
      <c r="L211" s="1053"/>
      <c r="M211" s="1053"/>
      <c r="N211" s="1053"/>
      <c r="O211" s="1053"/>
      <c r="P211" s="1053"/>
      <c r="X211" s="803"/>
      <c r="Y211" s="1331" t="s">
        <v>482</v>
      </c>
      <c r="Z211" s="1331"/>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053" t="s">
        <v>663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2019</v>
      </c>
      <c r="BC214" t="s">
        <v>630</v>
      </c>
      <c r="BN214" s="30" t="s">
        <v>443</v>
      </c>
      <c r="BT214" s="40" t="s">
        <v>817</v>
      </c>
    </row>
    <row r="215" spans="1:72" ht="12.9" customHeight="1">
      <c r="D215" s="35"/>
      <c r="E215" s="41" t="s">
        <v>2102</v>
      </c>
      <c r="AC215" s="1325"/>
      <c r="AD215" s="1325"/>
      <c r="AF215" s="1337">
        <f>IFERROR(AC215/AG433,"")</f>
        <v>0</v>
      </c>
      <c r="AG215" s="1337"/>
      <c r="AX215" t="s">
        <v>2020</v>
      </c>
      <c r="BC215" t="s">
        <v>627</v>
      </c>
    </row>
    <row r="216" spans="1:72" ht="12.9" customHeight="1">
      <c r="D216" s="35"/>
      <c r="E216" s="937" t="s">
        <v>1432</v>
      </c>
      <c r="AX216" t="s">
        <v>2021</v>
      </c>
      <c r="BC216" t="s">
        <v>744</v>
      </c>
    </row>
    <row r="217" spans="1:72" ht="12.9" customHeight="1">
      <c r="E217" s="1418" t="s">
        <v>124</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AX217" s="41" t="s">
        <v>2023</v>
      </c>
      <c r="BC217" t="s">
        <v>628</v>
      </c>
    </row>
    <row r="218" spans="1:72" ht="12.9" customHeight="1">
      <c r="E218" s="41" t="s">
        <v>1959</v>
      </c>
      <c r="AA218" s="49"/>
      <c r="AC218" s="1320"/>
      <c r="AD218" s="1320"/>
      <c r="AE218" s="1320"/>
      <c r="AF218" s="1320"/>
      <c r="AG218" s="1320"/>
      <c r="AH218" s="1320"/>
      <c r="AI218" s="1320"/>
      <c r="AJ218" s="1320"/>
      <c r="AK218" s="1320"/>
      <c r="AL218" s="1320"/>
      <c r="AM218" s="1320"/>
      <c r="BC218" t="s">
        <v>629</v>
      </c>
      <c r="BI218" s="39"/>
    </row>
    <row r="219" spans="1:72" ht="12.9" customHeight="1">
      <c r="E219" s="41" t="s">
        <v>1960</v>
      </c>
      <c r="AA219" s="49"/>
      <c r="AC219" s="1320"/>
      <c r="AD219" s="1320"/>
      <c r="AE219" s="1320"/>
      <c r="AF219" s="1320"/>
      <c r="AG219" s="1320"/>
      <c r="AH219" s="1320"/>
      <c r="AI219" s="1320"/>
      <c r="AJ219" s="1320"/>
      <c r="AK219" s="1320"/>
      <c r="AL219" s="1320"/>
      <c r="AM219" s="1320"/>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14" t="s">
        <v>1435</v>
      </c>
      <c r="E223" s="1314"/>
      <c r="F223" s="1314"/>
      <c r="G223" s="1314"/>
      <c r="H223" s="1314"/>
      <c r="I223" s="1314"/>
      <c r="J223" s="1314"/>
      <c r="K223" s="1314"/>
      <c r="L223" s="1314"/>
      <c r="M223" s="1314"/>
      <c r="N223" s="1314"/>
      <c r="O223" s="1314"/>
      <c r="P223" s="1314"/>
      <c r="Q223" s="1314"/>
      <c r="R223" s="1314"/>
      <c r="S223" s="1314"/>
      <c r="T223" s="1314"/>
      <c r="U223" s="1314"/>
      <c r="V223" s="1314"/>
      <c r="W223" s="1314"/>
      <c r="X223" s="1314"/>
      <c r="Y223" s="1314"/>
      <c r="Z223" s="1314"/>
      <c r="AA223" s="1314"/>
      <c r="AB223" s="1314"/>
      <c r="AC223" s="1314"/>
      <c r="AD223" s="1314"/>
      <c r="AE223" s="1314"/>
      <c r="AF223" s="1314"/>
      <c r="AG223" s="1314"/>
      <c r="AH223" s="1314"/>
      <c r="AI223" s="1314"/>
      <c r="AJ223" s="21"/>
      <c r="AK223" s="21"/>
      <c r="AL223" s="21"/>
    </row>
    <row r="224" spans="1:72" ht="12.9" customHeight="1">
      <c r="AJ224" s="5"/>
    </row>
    <row r="225" spans="1:59" ht="12.9" customHeight="1">
      <c r="D225" t="s">
        <v>557</v>
      </c>
      <c r="O225" s="1115">
        <v>1</v>
      </c>
      <c r="P225" s="1115"/>
    </row>
    <row r="226" spans="1:59" ht="12.9" customHeight="1">
      <c r="D226" t="s">
        <v>558</v>
      </c>
      <c r="O226" s="1115">
        <v>3</v>
      </c>
      <c r="P226" s="1115"/>
      <c r="BB226" s="5" t="s">
        <v>638</v>
      </c>
      <c r="BG226" s="410">
        <f>IF(AND(AND($M$251="for profit",$M$259="for profit",$M$267="nonprofit")),2,0)</f>
        <v>0</v>
      </c>
    </row>
    <row r="227" spans="1:59" ht="12.9" customHeight="1">
      <c r="D227" t="s">
        <v>559</v>
      </c>
      <c r="O227" s="1115">
        <v>1</v>
      </c>
      <c r="P227" s="1115"/>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2</v>
      </c>
    </row>
    <row r="231" spans="1:59" ht="12.9"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20" t="str">
        <f>H15</f>
        <v>Kingdom Development, Inc.</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2.9" customHeight="1">
      <c r="D236" s="5" t="s">
        <v>372</v>
      </c>
      <c r="E236" s="5"/>
      <c r="F236" s="5"/>
      <c r="G236" s="5"/>
      <c r="H236" s="5"/>
      <c r="I236" s="5"/>
      <c r="J236" s="5"/>
      <c r="K236" s="5"/>
      <c r="M236" s="1053" t="s">
        <v>2332</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 customHeight="1">
      <c r="D237" s="5" t="s">
        <v>430</v>
      </c>
      <c r="E237" s="5"/>
      <c r="M237" s="1053" t="s">
        <v>109</v>
      </c>
      <c r="N237" s="1053"/>
      <c r="O237" s="1053"/>
      <c r="P237" s="1053"/>
      <c r="Q237" s="1053"/>
      <c r="R237" s="1053"/>
      <c r="S237" s="1053"/>
      <c r="T237" s="1053"/>
      <c r="V237" s="42" t="s">
        <v>373</v>
      </c>
      <c r="W237" s="1315" t="s">
        <v>2333</v>
      </c>
      <c r="X237" s="1315"/>
      <c r="Y237" s="5" t="s">
        <v>433</v>
      </c>
      <c r="AC237" s="1053">
        <v>92507</v>
      </c>
      <c r="AD237" s="1053"/>
      <c r="AE237" s="1053"/>
      <c r="AN237" s="41"/>
      <c r="BB237" t="s">
        <v>637</v>
      </c>
      <c r="BG237" s="410">
        <f>IF(AND(AND($M$251="nonprofit",$M$259="nonprofit",$M$267="(select one)")),1,0)</f>
        <v>0</v>
      </c>
    </row>
    <row r="238" spans="1:59" ht="12.9" customHeight="1">
      <c r="D238" s="5" t="s">
        <v>374</v>
      </c>
      <c r="E238" s="5"/>
      <c r="F238" s="5"/>
      <c r="G238" s="5"/>
      <c r="H238" s="5"/>
      <c r="I238" s="5"/>
      <c r="J238" s="5"/>
      <c r="K238" s="28"/>
      <c r="M238" s="1053" t="s">
        <v>2334</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 customHeight="1">
      <c r="D239" s="5" t="s">
        <v>375</v>
      </c>
      <c r="E239" s="5"/>
      <c r="F239" s="5"/>
      <c r="M239" s="1058" t="s">
        <v>2335</v>
      </c>
      <c r="N239" s="1058"/>
      <c r="O239" s="1058"/>
      <c r="P239" s="1058"/>
      <c r="Q239" s="1058"/>
      <c r="R239" s="1058"/>
      <c r="S239" s="5" t="s">
        <v>818</v>
      </c>
      <c r="T239" s="5"/>
      <c r="U239" s="1315"/>
      <c r="V239" s="1315"/>
      <c r="W239" s="1315"/>
      <c r="X239" s="5" t="s">
        <v>376</v>
      </c>
      <c r="Z239" s="1058"/>
      <c r="AA239" s="1058"/>
      <c r="AB239" s="1058"/>
      <c r="AC239" s="1058"/>
      <c r="AD239" s="1058"/>
      <c r="AE239" s="1058"/>
      <c r="AM239" s="41"/>
      <c r="AN239" s="41"/>
      <c r="BB239" t="s">
        <v>1009</v>
      </c>
      <c r="BG239" s="410">
        <f>IF(AND(AND($M$251="for profit",$M$259="for profit",$M$267="for profit")),3,0)</f>
        <v>0</v>
      </c>
    </row>
    <row r="240" spans="1:59" ht="12.9" customHeight="1">
      <c r="D240" s="5" t="s">
        <v>377</v>
      </c>
      <c r="E240" s="5"/>
      <c r="F240" s="5"/>
      <c r="M240" s="1060" t="s">
        <v>2336</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054" t="s">
        <v>494</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 customHeight="1">
      <c r="D242" t="s">
        <v>631</v>
      </c>
      <c r="M242" s="1314"/>
      <c r="N242" s="1056"/>
      <c r="O242" s="1056"/>
      <c r="P242" s="1056"/>
      <c r="Q242" s="1056"/>
      <c r="R242" s="1056"/>
      <c r="S242" s="1056"/>
      <c r="T242" s="1056"/>
      <c r="U242" s="1056"/>
      <c r="V242" s="1056"/>
      <c r="W242" s="1056"/>
      <c r="X242" s="1056"/>
      <c r="Y242" s="1056"/>
      <c r="Z242" s="1056"/>
      <c r="AA242" s="1056"/>
      <c r="AB242" s="1056"/>
      <c r="AC242" s="1056"/>
      <c r="AD242" s="1056"/>
      <c r="AE242" s="1056"/>
      <c r="AF242" s="938" t="str">
        <f>IF(AND(M241="other",M242=""),"!","")</f>
        <v/>
      </c>
      <c r="AG242" s="938"/>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21" t="s">
        <v>2339</v>
      </c>
      <c r="N245" s="1321"/>
      <c r="O245" s="1321"/>
      <c r="P245" s="1321"/>
      <c r="Q245" s="1321"/>
      <c r="R245" s="1321"/>
      <c r="S245" s="1321"/>
      <c r="T245" s="1321"/>
      <c r="U245" s="1321"/>
      <c r="V245" s="1321"/>
      <c r="W245" s="1321"/>
      <c r="X245" s="1321"/>
      <c r="Y245" s="1321"/>
      <c r="Z245" s="1321"/>
      <c r="AA245" s="1321"/>
      <c r="AB245" s="1321"/>
      <c r="AC245" s="1321"/>
      <c r="AD245" s="1321"/>
      <c r="AE245" s="1321"/>
      <c r="AF245" s="1324" t="s">
        <v>2338</v>
      </c>
      <c r="AG245" s="1324"/>
      <c r="AH245" s="1324"/>
      <c r="AI245" s="1324"/>
      <c r="AJ245" s="1324"/>
      <c r="AK245" s="1324"/>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053" t="s">
        <v>2332</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 customHeight="1">
      <c r="A247" s="28"/>
      <c r="B247" s="5"/>
      <c r="C247" s="5"/>
      <c r="D247" s="5" t="s">
        <v>430</v>
      </c>
      <c r="E247" s="5"/>
      <c r="M247" s="1053" t="s">
        <v>109</v>
      </c>
      <c r="N247" s="1053"/>
      <c r="O247" s="1053"/>
      <c r="P247" s="1053"/>
      <c r="Q247" s="1053"/>
      <c r="R247" s="1053"/>
      <c r="S247" s="1053"/>
      <c r="T247" s="1053"/>
      <c r="V247" s="42" t="s">
        <v>373</v>
      </c>
      <c r="W247" s="1315" t="s">
        <v>2333</v>
      </c>
      <c r="X247" s="1315"/>
      <c r="Y247" s="5" t="s">
        <v>433</v>
      </c>
      <c r="AC247" s="1053">
        <v>92507</v>
      </c>
      <c r="AD247" s="1053"/>
      <c r="AE247" s="1053"/>
      <c r="AN247" s="41"/>
    </row>
    <row r="248" spans="1:67" ht="12.9" customHeight="1">
      <c r="A248" s="28"/>
      <c r="B248" s="5"/>
      <c r="C248" s="5"/>
      <c r="D248" s="5" t="s">
        <v>374</v>
      </c>
      <c r="E248" s="5"/>
      <c r="F248" s="5"/>
      <c r="G248" s="5"/>
      <c r="H248" s="5"/>
      <c r="I248" s="5"/>
      <c r="J248" s="5"/>
      <c r="K248" s="5"/>
      <c r="L248" s="28"/>
      <c r="M248" s="1053" t="s">
        <v>2323</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375</v>
      </c>
      <c r="E249" s="5"/>
      <c r="F249" s="5"/>
      <c r="M249" s="1058" t="s">
        <v>2335</v>
      </c>
      <c r="N249" s="1058"/>
      <c r="O249" s="1058"/>
      <c r="P249" s="1058"/>
      <c r="Q249" s="1058"/>
      <c r="R249" s="1058"/>
      <c r="S249" s="5" t="s">
        <v>818</v>
      </c>
      <c r="T249" s="5"/>
      <c r="U249" s="1315"/>
      <c r="V249" s="1315"/>
      <c r="W249" s="1315"/>
      <c r="X249" s="5" t="s">
        <v>376</v>
      </c>
      <c r="Z249" s="1058"/>
      <c r="AA249" s="1058"/>
      <c r="AB249" s="1058"/>
      <c r="AC249" s="1058"/>
      <c r="AD249" s="1058"/>
      <c r="AE249" s="1058"/>
      <c r="AM249" s="5"/>
      <c r="AN249" s="41"/>
    </row>
    <row r="250" spans="1:67" ht="12.9" customHeight="1">
      <c r="A250" s="28"/>
      <c r="B250" s="5"/>
      <c r="C250" s="5"/>
      <c r="D250" s="5" t="s">
        <v>377</v>
      </c>
      <c r="E250" s="5"/>
      <c r="F250" s="5"/>
      <c r="M250" s="1060" t="s">
        <v>2336</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 customHeight="1">
      <c r="A251" s="18"/>
      <c r="B251" s="5"/>
      <c r="C251" s="62"/>
      <c r="D251" s="5" t="s">
        <v>635</v>
      </c>
      <c r="E251" s="5"/>
      <c r="F251" s="5"/>
      <c r="G251" s="5"/>
      <c r="H251" s="5"/>
      <c r="I251" s="5"/>
      <c r="J251" s="5"/>
      <c r="K251" s="5"/>
      <c r="L251" s="5"/>
      <c r="M251" s="1054" t="s">
        <v>634</v>
      </c>
      <c r="N251" s="1054"/>
      <c r="O251" s="1054"/>
      <c r="P251" s="1054"/>
      <c r="Q251" s="1054"/>
      <c r="R251" s="1054"/>
      <c r="S251" s="1054"/>
      <c r="T251" s="1054"/>
      <c r="U251" s="5" t="s">
        <v>1144</v>
      </c>
      <c r="AA251" s="1146" t="s">
        <v>2340</v>
      </c>
      <c r="AB251" s="1057"/>
      <c r="AC251" s="1057"/>
      <c r="AD251" s="1057"/>
      <c r="AE251" s="1057"/>
      <c r="AF251" s="1057"/>
      <c r="AG251" s="1057"/>
      <c r="AH251" s="1057"/>
      <c r="AI251" s="1057"/>
      <c r="AJ251" s="1057"/>
      <c r="AK251" s="105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21" t="s">
        <v>2341</v>
      </c>
      <c r="N253" s="1321"/>
      <c r="O253" s="1321"/>
      <c r="P253" s="1321"/>
      <c r="Q253" s="1321"/>
      <c r="R253" s="1321"/>
      <c r="S253" s="1321"/>
      <c r="T253" s="1321"/>
      <c r="U253" s="1321"/>
      <c r="V253" s="1321"/>
      <c r="W253" s="1321"/>
      <c r="X253" s="1321"/>
      <c r="Y253" s="1321"/>
      <c r="Z253" s="1321"/>
      <c r="AA253" s="1321"/>
      <c r="AB253" s="1321"/>
      <c r="AC253" s="1321"/>
      <c r="AD253" s="1321"/>
      <c r="AE253" s="1321"/>
      <c r="AF253" s="1324" t="s">
        <v>2337</v>
      </c>
      <c r="AG253" s="1324"/>
      <c r="AH253" s="1324"/>
      <c r="AI253" s="1324"/>
      <c r="AJ253" s="1324"/>
      <c r="AK253" s="1324"/>
      <c r="AM253" s="5"/>
    </row>
    <row r="254" spans="1:67" ht="12.9" customHeight="1">
      <c r="A254" s="28"/>
      <c r="B254" s="5"/>
      <c r="C254" s="5"/>
      <c r="D254" s="5" t="s">
        <v>372</v>
      </c>
      <c r="E254" s="5"/>
      <c r="F254" s="5"/>
      <c r="G254" s="5"/>
      <c r="H254" s="5"/>
      <c r="I254" s="5"/>
      <c r="J254" s="5"/>
      <c r="K254" s="5"/>
      <c r="L254" s="5"/>
      <c r="M254" s="1314" t="s">
        <v>2342</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430</v>
      </c>
      <c r="E255" s="5"/>
      <c r="M255" s="1314" t="s">
        <v>2475</v>
      </c>
      <c r="N255" s="1053"/>
      <c r="O255" s="1053"/>
      <c r="P255" s="1053"/>
      <c r="Q255" s="1053"/>
      <c r="R255" s="1053"/>
      <c r="S255" s="1053"/>
      <c r="T255" s="1053"/>
      <c r="V255" s="42" t="s">
        <v>373</v>
      </c>
      <c r="W255" s="1315" t="s">
        <v>2333</v>
      </c>
      <c r="X255" s="1315"/>
      <c r="Y255" s="5" t="s">
        <v>433</v>
      </c>
      <c r="AC255" s="1053">
        <v>94947</v>
      </c>
      <c r="AD255" s="1053"/>
      <c r="AE255" s="1053"/>
    </row>
    <row r="256" spans="1:67" ht="12.9" customHeight="1">
      <c r="A256" s="28"/>
      <c r="B256" s="5"/>
      <c r="C256" s="5"/>
      <c r="D256" s="5" t="s">
        <v>374</v>
      </c>
      <c r="E256" s="5"/>
      <c r="F256" s="5"/>
      <c r="G256" s="5"/>
      <c r="H256" s="5"/>
      <c r="I256" s="5"/>
      <c r="J256" s="5"/>
      <c r="K256" s="5"/>
      <c r="L256" s="28"/>
      <c r="M256" s="1053" t="s">
        <v>2343</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375</v>
      </c>
      <c r="E257" s="5"/>
      <c r="F257" s="5"/>
      <c r="M257" s="1058" t="s">
        <v>2344</v>
      </c>
      <c r="N257" s="1058"/>
      <c r="O257" s="1058"/>
      <c r="P257" s="1058"/>
      <c r="Q257" s="1058"/>
      <c r="R257" s="1058"/>
      <c r="S257" s="5" t="s">
        <v>818</v>
      </c>
      <c r="T257" s="5"/>
      <c r="U257" s="1315"/>
      <c r="V257" s="1315"/>
      <c r="W257" s="1315"/>
      <c r="X257" s="5" t="s">
        <v>376</v>
      </c>
      <c r="Z257" s="1058"/>
      <c r="AA257" s="1058"/>
      <c r="AB257" s="1058"/>
      <c r="AC257" s="1058"/>
      <c r="AD257" s="1058"/>
      <c r="AE257" s="1058"/>
      <c r="BA257" s="43"/>
    </row>
    <row r="258" spans="1:53" ht="12.9" customHeight="1">
      <c r="A258" s="28"/>
      <c r="B258" s="5"/>
      <c r="C258" s="5"/>
      <c r="D258" s="5" t="s">
        <v>377</v>
      </c>
      <c r="E258" s="5"/>
      <c r="F258" s="5"/>
      <c r="M258" s="1060" t="s">
        <v>2345</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 customHeight="1">
      <c r="A259" s="18"/>
      <c r="B259" s="5"/>
      <c r="C259" s="62"/>
      <c r="D259" s="5" t="s">
        <v>635</v>
      </c>
      <c r="E259" s="5"/>
      <c r="F259" s="5"/>
      <c r="G259" s="5"/>
      <c r="H259" s="5"/>
      <c r="I259" s="5"/>
      <c r="J259" s="5"/>
      <c r="K259" s="5"/>
      <c r="L259" s="5"/>
      <c r="M259" s="1054" t="s">
        <v>636</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430</v>
      </c>
      <c r="E263" s="5"/>
      <c r="M263" s="1053"/>
      <c r="N263" s="1053"/>
      <c r="O263" s="1053"/>
      <c r="P263" s="1053"/>
      <c r="Q263" s="1053"/>
      <c r="R263" s="1053"/>
      <c r="S263" s="1053"/>
      <c r="T263" s="1053"/>
      <c r="V263" s="42" t="s">
        <v>373</v>
      </c>
      <c r="W263" s="1315"/>
      <c r="X263" s="1315"/>
      <c r="Y263" s="5" t="s">
        <v>433</v>
      </c>
      <c r="AC263" s="1053"/>
      <c r="AD263" s="1053"/>
      <c r="AE263" s="1053"/>
      <c r="AL263" s="41"/>
      <c r="BA263" s="43"/>
    </row>
    <row r="264" spans="1:53" ht="12.9"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375</v>
      </c>
      <c r="E265" s="5"/>
      <c r="F265" s="5"/>
      <c r="M265" s="1058"/>
      <c r="N265" s="1058"/>
      <c r="O265" s="1058"/>
      <c r="P265" s="1058"/>
      <c r="Q265" s="1058"/>
      <c r="R265" s="1058"/>
      <c r="S265" s="5" t="s">
        <v>818</v>
      </c>
      <c r="T265" s="5"/>
      <c r="U265" s="1315"/>
      <c r="V265" s="1315"/>
      <c r="W265" s="1315"/>
      <c r="X265" s="5" t="s">
        <v>376</v>
      </c>
      <c r="Z265" s="1058"/>
      <c r="AA265" s="1058"/>
      <c r="AB265" s="1058"/>
      <c r="AC265" s="1058"/>
      <c r="AD265" s="1058"/>
      <c r="AE265" s="1058"/>
      <c r="AL265" s="41"/>
      <c r="BA265" s="43"/>
    </row>
    <row r="266" spans="1:53" ht="12.9"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053" t="s">
        <v>892</v>
      </c>
      <c r="E272" s="1053"/>
      <c r="F272" s="1053"/>
      <c r="G272" s="1053"/>
      <c r="H272" s="1053"/>
      <c r="J272" t="s">
        <v>891</v>
      </c>
      <c r="X272" s="1346"/>
      <c r="Y272" s="1346"/>
      <c r="Z272" s="1346"/>
      <c r="AA272" s="1346"/>
      <c r="AB272" s="1346"/>
      <c r="AC272" s="1346"/>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4" t="s">
        <v>2321</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 customHeight="1">
      <c r="D277" s="5" t="s">
        <v>372</v>
      </c>
      <c r="E277" s="5"/>
      <c r="F277" s="5"/>
      <c r="G277" s="5"/>
      <c r="H277" s="5"/>
      <c r="I277" s="5"/>
      <c r="J277" s="5"/>
      <c r="K277" s="5"/>
      <c r="L277" s="1053" t="s">
        <v>2332</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430</v>
      </c>
      <c r="E278" s="5"/>
      <c r="L278" s="1053" t="s">
        <v>109</v>
      </c>
      <c r="M278" s="1053"/>
      <c r="N278" s="1053"/>
      <c r="O278" s="1053"/>
      <c r="P278" s="1053"/>
      <c r="Q278" s="1053"/>
      <c r="R278" s="1053"/>
      <c r="S278" s="1053"/>
      <c r="U278" s="42" t="s">
        <v>373</v>
      </c>
      <c r="V278" s="1315" t="s">
        <v>2333</v>
      </c>
      <c r="W278" s="1315"/>
      <c r="X278" s="5" t="s">
        <v>433</v>
      </c>
      <c r="AB278" s="1053">
        <v>92507</v>
      </c>
      <c r="AC278" s="1053"/>
      <c r="AD278" s="1053"/>
      <c r="AK278" s="41"/>
      <c r="AL278" s="41"/>
      <c r="BA278" s="43"/>
    </row>
    <row r="279" spans="1:53" ht="12.9" customHeight="1">
      <c r="D279" s="5" t="s">
        <v>374</v>
      </c>
      <c r="E279" s="5"/>
      <c r="F279" s="5"/>
      <c r="G279" s="5"/>
      <c r="H279" s="5"/>
      <c r="I279" s="5"/>
      <c r="J279" s="5"/>
      <c r="K279" s="28"/>
      <c r="L279" s="1053" t="s">
        <v>2334</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375</v>
      </c>
      <c r="E280" s="5"/>
      <c r="F280" s="5"/>
      <c r="L280" s="1058" t="s">
        <v>2335</v>
      </c>
      <c r="M280" s="1058"/>
      <c r="N280" s="1058"/>
      <c r="O280" s="1058"/>
      <c r="P280" s="1058"/>
      <c r="Q280" s="1058"/>
      <c r="R280" s="5" t="s">
        <v>818</v>
      </c>
      <c r="S280" s="5"/>
      <c r="T280" s="1315"/>
      <c r="U280" s="1315"/>
      <c r="V280" s="1315"/>
      <c r="W280" s="5" t="s">
        <v>376</v>
      </c>
      <c r="Y280" s="1058"/>
      <c r="Z280" s="1058"/>
      <c r="AA280" s="1058"/>
      <c r="AB280" s="1058"/>
      <c r="AC280" s="1058"/>
      <c r="AD280" s="1058"/>
      <c r="BA280" s="43"/>
    </row>
    <row r="281" spans="1:53" ht="12.9" customHeight="1">
      <c r="D281" s="5" t="s">
        <v>377</v>
      </c>
      <c r="E281" s="5"/>
      <c r="F281" s="5"/>
      <c r="L281" s="1060" t="s">
        <v>2336</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 customHeight="1">
      <c r="D282" s="41" t="s">
        <v>186</v>
      </c>
      <c r="E282" s="41"/>
      <c r="F282" s="41"/>
      <c r="G282" s="41"/>
      <c r="H282" s="41"/>
      <c r="I282" s="41"/>
      <c r="L282" s="1316" t="s">
        <v>2346</v>
      </c>
      <c r="M282" s="1316"/>
      <c r="N282" s="1316"/>
      <c r="O282" s="1316"/>
      <c r="P282" s="1316"/>
      <c r="Q282" s="1316"/>
      <c r="R282" s="1316"/>
      <c r="S282" s="1316"/>
      <c r="T282" s="1316"/>
      <c r="U282" s="1316"/>
      <c r="V282" s="1316"/>
      <c r="W282" s="1316"/>
      <c r="X282" s="1316"/>
      <c r="Y282" s="1316"/>
      <c r="Z282" s="1316"/>
      <c r="AA282" s="1316"/>
      <c r="AB282" s="1316"/>
      <c r="AC282" s="1316"/>
      <c r="AD282" s="1316"/>
      <c r="AK282" s="41"/>
      <c r="AL282" s="41"/>
      <c r="BA282" s="43"/>
    </row>
    <row r="283" spans="1:53" ht="12.9" customHeight="1">
      <c r="L283" s="4" t="s">
        <v>187</v>
      </c>
      <c r="BA283" s="43"/>
    </row>
    <row r="284" spans="1:53" ht="12.9"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6" t="s">
        <v>2341</v>
      </c>
      <c r="I289" s="1056"/>
      <c r="J289" s="1056"/>
      <c r="K289" s="1056"/>
      <c r="L289" s="1056"/>
      <c r="M289" s="1056"/>
      <c r="N289" s="1056"/>
      <c r="O289" s="1056"/>
      <c r="P289" s="1056"/>
      <c r="Q289" s="1056"/>
      <c r="R289" s="1056"/>
      <c r="T289" s="41" t="s">
        <v>745</v>
      </c>
      <c r="V289" s="41"/>
      <c r="W289" s="41"/>
      <c r="X289" s="41"/>
      <c r="Y289" s="41"/>
      <c r="AA289" s="1056" t="s">
        <v>2347</v>
      </c>
      <c r="AB289" s="1056"/>
      <c r="AC289" s="1056"/>
      <c r="AD289" s="1056"/>
      <c r="AE289" s="1056"/>
      <c r="AF289" s="1056"/>
      <c r="AG289" s="1056"/>
      <c r="AH289" s="1056"/>
      <c r="AI289" s="1056"/>
      <c r="AJ289" s="1056"/>
      <c r="AK289" s="1056"/>
      <c r="BA289" s="43"/>
    </row>
    <row r="290" spans="2:53" ht="12.9" customHeight="1">
      <c r="B290" s="41" t="s">
        <v>699</v>
      </c>
      <c r="C290" s="41"/>
      <c r="D290" s="41"/>
      <c r="E290" s="41"/>
      <c r="F290" s="41"/>
      <c r="H290" s="1054" t="s">
        <v>2342</v>
      </c>
      <c r="I290" s="1054"/>
      <c r="J290" s="1054"/>
      <c r="K290" s="1054"/>
      <c r="L290" s="1054"/>
      <c r="M290" s="1054"/>
      <c r="N290" s="1054"/>
      <c r="O290" s="1054"/>
      <c r="P290" s="1054"/>
      <c r="Q290" s="1054"/>
      <c r="R290" s="1054"/>
      <c r="T290" s="41" t="s">
        <v>699</v>
      </c>
      <c r="V290" s="41"/>
      <c r="W290" s="41"/>
      <c r="X290" s="41"/>
      <c r="Y290" s="41"/>
      <c r="AA290" s="1054" t="s">
        <v>2348</v>
      </c>
      <c r="AB290" s="1054"/>
      <c r="AC290" s="1054"/>
      <c r="AD290" s="1054"/>
      <c r="AE290" s="1054"/>
      <c r="AF290" s="1054"/>
      <c r="AG290" s="1054"/>
      <c r="AH290" s="1054"/>
      <c r="AI290" s="1054"/>
      <c r="AJ290" s="1054"/>
      <c r="AK290" s="1054"/>
      <c r="BA290" s="43"/>
    </row>
    <row r="291" spans="2:53" ht="12.9" customHeight="1">
      <c r="B291" s="41" t="s">
        <v>701</v>
      </c>
      <c r="C291" s="41"/>
      <c r="D291" s="41"/>
      <c r="E291" s="41"/>
      <c r="F291" s="41"/>
      <c r="H291" s="1054" t="s">
        <v>2476</v>
      </c>
      <c r="I291" s="1054"/>
      <c r="J291" s="1054"/>
      <c r="K291" s="1054"/>
      <c r="L291" s="1054"/>
      <c r="M291" s="1054"/>
      <c r="N291" s="1054"/>
      <c r="O291" s="1054"/>
      <c r="P291" s="1054"/>
      <c r="Q291" s="1054"/>
      <c r="R291" s="1054"/>
      <c r="T291" s="41" t="s">
        <v>700</v>
      </c>
      <c r="V291" s="41"/>
      <c r="W291" s="41"/>
      <c r="X291" s="41"/>
      <c r="Y291" s="41"/>
      <c r="AA291" s="1054" t="s">
        <v>2349</v>
      </c>
      <c r="AB291" s="1054"/>
      <c r="AC291" s="1054"/>
      <c r="AD291" s="1054"/>
      <c r="AE291" s="1054"/>
      <c r="AF291" s="1054"/>
      <c r="AG291" s="1054"/>
      <c r="AH291" s="1054"/>
      <c r="AI291" s="1054"/>
      <c r="AJ291" s="1054"/>
      <c r="AK291" s="1054"/>
      <c r="BA291" s="43"/>
    </row>
    <row r="292" spans="2:53" ht="12.9" customHeight="1">
      <c r="B292" s="41" t="s">
        <v>374</v>
      </c>
      <c r="C292" s="41"/>
      <c r="D292" s="41"/>
      <c r="E292" s="41"/>
      <c r="F292" s="41"/>
      <c r="H292" s="1054" t="s">
        <v>2343</v>
      </c>
      <c r="I292" s="1054"/>
      <c r="J292" s="1054"/>
      <c r="K292" s="1054"/>
      <c r="L292" s="1054"/>
      <c r="M292" s="1054"/>
      <c r="N292" s="1054"/>
      <c r="O292" s="1054"/>
      <c r="P292" s="1054"/>
      <c r="Q292" s="1054"/>
      <c r="R292" s="1054"/>
      <c r="T292" s="41" t="s">
        <v>374</v>
      </c>
      <c r="V292" s="41"/>
      <c r="W292" s="41"/>
      <c r="X292" s="41"/>
      <c r="Y292" s="41"/>
      <c r="AA292" s="1054" t="s">
        <v>2350</v>
      </c>
      <c r="AB292" s="1054"/>
      <c r="AC292" s="1054"/>
      <c r="AD292" s="1054"/>
      <c r="AE292" s="1054"/>
      <c r="AF292" s="1054"/>
      <c r="AG292" s="1054"/>
      <c r="AH292" s="1054"/>
      <c r="AI292" s="1054"/>
      <c r="AJ292" s="1054"/>
      <c r="AK292" s="1054"/>
      <c r="BA292" s="43"/>
    </row>
    <row r="293" spans="2:53" ht="12.9" customHeight="1">
      <c r="B293" s="41" t="s">
        <v>375</v>
      </c>
      <c r="C293" s="41"/>
      <c r="D293" s="41"/>
      <c r="E293" s="41"/>
      <c r="F293" s="41"/>
      <c r="G293" s="41"/>
      <c r="H293" s="1057" t="s">
        <v>2344</v>
      </c>
      <c r="I293" s="1057"/>
      <c r="J293" s="1057"/>
      <c r="K293" s="1057"/>
      <c r="L293" s="1057"/>
      <c r="M293" s="1057"/>
      <c r="N293" s="5" t="s">
        <v>818</v>
      </c>
      <c r="O293" s="5"/>
      <c r="P293" s="1053"/>
      <c r="Q293" s="1053"/>
      <c r="R293" s="1053"/>
      <c r="S293" s="41"/>
      <c r="T293" s="41" t="s">
        <v>375</v>
      </c>
      <c r="V293" s="41"/>
      <c r="W293" s="41"/>
      <c r="X293" s="41"/>
      <c r="Y293" s="41"/>
      <c r="AA293" s="1057" t="s">
        <v>2351</v>
      </c>
      <c r="AB293" s="1057"/>
      <c r="AC293" s="1057"/>
      <c r="AD293" s="1057"/>
      <c r="AE293" s="1057"/>
      <c r="AF293" s="1057"/>
      <c r="AG293" s="5" t="s">
        <v>818</v>
      </c>
      <c r="AH293" s="5"/>
      <c r="AI293" s="1053"/>
      <c r="AJ293" s="1053"/>
      <c r="AK293" s="1053"/>
      <c r="BA293" s="43"/>
    </row>
    <row r="294" spans="2:53" ht="12.9" customHeight="1">
      <c r="B294" s="41" t="s">
        <v>376</v>
      </c>
      <c r="C294" s="41"/>
      <c r="D294" s="41"/>
      <c r="E294" s="41"/>
      <c r="F294" s="41"/>
      <c r="G294" s="41"/>
      <c r="H294" s="1058"/>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 customHeight="1">
      <c r="B295" s="41" t="s">
        <v>702</v>
      </c>
      <c r="C295" s="41"/>
      <c r="D295" s="41"/>
      <c r="E295" s="41"/>
      <c r="F295" s="41"/>
      <c r="G295" s="41"/>
      <c r="H295" s="1054" t="s">
        <v>2345</v>
      </c>
      <c r="I295" s="1054"/>
      <c r="J295" s="1054"/>
      <c r="K295" s="1054"/>
      <c r="L295" s="1054"/>
      <c r="M295" s="1054"/>
      <c r="N295" s="1056"/>
      <c r="O295" s="1056"/>
      <c r="P295" s="1056"/>
      <c r="Q295" s="1056"/>
      <c r="R295" s="1056"/>
      <c r="S295" s="41"/>
      <c r="T295" s="41" t="s">
        <v>702</v>
      </c>
      <c r="V295" s="41"/>
      <c r="W295" s="41"/>
      <c r="X295" s="41"/>
      <c r="Y295" s="41"/>
      <c r="AA295" s="1054" t="s">
        <v>2352</v>
      </c>
      <c r="AB295" s="1054"/>
      <c r="AC295" s="1054"/>
      <c r="AD295" s="1054"/>
      <c r="AE295" s="1054"/>
      <c r="AF295" s="1054"/>
      <c r="AG295" s="1056"/>
      <c r="AH295" s="1056"/>
      <c r="AI295" s="1056"/>
      <c r="AJ295" s="1056"/>
      <c r="AK295" s="105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6" t="s">
        <v>2353</v>
      </c>
      <c r="I297" s="1056"/>
      <c r="J297" s="1056"/>
      <c r="K297" s="1056"/>
      <c r="L297" s="1056"/>
      <c r="M297" s="1056"/>
      <c r="N297" s="1056"/>
      <c r="O297" s="1056"/>
      <c r="P297" s="1056"/>
      <c r="Q297" s="1056"/>
      <c r="R297" s="1056"/>
      <c r="T297" s="41" t="s">
        <v>35</v>
      </c>
      <c r="V297" s="41"/>
      <c r="W297" s="41"/>
      <c r="X297" s="41"/>
      <c r="Y297" s="41"/>
      <c r="AA297" s="1056" t="s">
        <v>2359</v>
      </c>
      <c r="AB297" s="1056"/>
      <c r="AC297" s="1056"/>
      <c r="AD297" s="1056"/>
      <c r="AE297" s="1056"/>
      <c r="AF297" s="1056"/>
      <c r="AG297" s="1056"/>
      <c r="AH297" s="1056"/>
      <c r="AI297" s="1056"/>
      <c r="AJ297" s="1056"/>
      <c r="AK297" s="1056"/>
      <c r="BA297" s="43"/>
    </row>
    <row r="298" spans="2:53" ht="12.9" customHeight="1">
      <c r="B298" s="41" t="s">
        <v>699</v>
      </c>
      <c r="C298" s="41"/>
      <c r="D298" s="41"/>
      <c r="E298" s="41"/>
      <c r="F298" s="41"/>
      <c r="H298" s="1054" t="s">
        <v>2354</v>
      </c>
      <c r="I298" s="1054"/>
      <c r="J298" s="1054"/>
      <c r="K298" s="1054"/>
      <c r="L298" s="1054"/>
      <c r="M298" s="1054"/>
      <c r="N298" s="1054"/>
      <c r="O298" s="1054"/>
      <c r="P298" s="1054"/>
      <c r="Q298" s="1054"/>
      <c r="R298" s="1054"/>
      <c r="T298" s="41" t="s">
        <v>699</v>
      </c>
      <c r="V298" s="41"/>
      <c r="W298" s="41"/>
      <c r="X298" s="41"/>
      <c r="Y298" s="41"/>
      <c r="AA298" s="1054" t="s">
        <v>2360</v>
      </c>
      <c r="AB298" s="1054"/>
      <c r="AC298" s="1054"/>
      <c r="AD298" s="1054"/>
      <c r="AE298" s="1054"/>
      <c r="AF298" s="1054"/>
      <c r="AG298" s="1054"/>
      <c r="AH298" s="1054"/>
      <c r="AI298" s="1054"/>
      <c r="AJ298" s="1054"/>
      <c r="AK298" s="1054"/>
      <c r="BA298" s="43"/>
    </row>
    <row r="299" spans="2:53" ht="12.9" customHeight="1">
      <c r="B299" s="41" t="s">
        <v>701</v>
      </c>
      <c r="C299" s="41"/>
      <c r="D299" s="41"/>
      <c r="E299" s="41"/>
      <c r="F299" s="41"/>
      <c r="H299" s="1054" t="s">
        <v>2355</v>
      </c>
      <c r="I299" s="1054"/>
      <c r="J299" s="1054"/>
      <c r="K299" s="1054"/>
      <c r="L299" s="1054"/>
      <c r="M299" s="1054"/>
      <c r="N299" s="1054"/>
      <c r="O299" s="1054"/>
      <c r="P299" s="1054"/>
      <c r="Q299" s="1054"/>
      <c r="R299" s="1054"/>
      <c r="T299" s="41" t="s">
        <v>700</v>
      </c>
      <c r="V299" s="41"/>
      <c r="W299" s="41"/>
      <c r="X299" s="41"/>
      <c r="Y299" s="41"/>
      <c r="AA299" s="1054" t="s">
        <v>2361</v>
      </c>
      <c r="AB299" s="1054"/>
      <c r="AC299" s="1054"/>
      <c r="AD299" s="1054"/>
      <c r="AE299" s="1054"/>
      <c r="AF299" s="1054"/>
      <c r="AG299" s="1054"/>
      <c r="AH299" s="1054"/>
      <c r="AI299" s="1054"/>
      <c r="AJ299" s="1054"/>
      <c r="AK299" s="1054"/>
      <c r="BA299" s="43"/>
    </row>
    <row r="300" spans="2:53" ht="12.9" customHeight="1">
      <c r="B300" s="41" t="s">
        <v>374</v>
      </c>
      <c r="C300" s="41"/>
      <c r="D300" s="41"/>
      <c r="E300" s="41"/>
      <c r="F300" s="41"/>
      <c r="H300" s="1054" t="s">
        <v>2356</v>
      </c>
      <c r="I300" s="1054"/>
      <c r="J300" s="1054"/>
      <c r="K300" s="1054"/>
      <c r="L300" s="1054"/>
      <c r="M300" s="1054"/>
      <c r="N300" s="1054"/>
      <c r="O300" s="1054"/>
      <c r="P300" s="1054"/>
      <c r="Q300" s="1054"/>
      <c r="R300" s="1054"/>
      <c r="T300" s="41" t="s">
        <v>374</v>
      </c>
      <c r="V300" s="41"/>
      <c r="W300" s="41"/>
      <c r="X300" s="41"/>
      <c r="Y300" s="41"/>
      <c r="AA300" s="1054" t="s">
        <v>2362</v>
      </c>
      <c r="AB300" s="1054"/>
      <c r="AC300" s="1054"/>
      <c r="AD300" s="1054"/>
      <c r="AE300" s="1054"/>
      <c r="AF300" s="1054"/>
      <c r="AG300" s="1054"/>
      <c r="AH300" s="1054"/>
      <c r="AI300" s="1054"/>
      <c r="AJ300" s="1054"/>
      <c r="AK300" s="1054"/>
      <c r="BA300" s="43"/>
    </row>
    <row r="301" spans="2:53" ht="12.9" customHeight="1">
      <c r="B301" s="41" t="s">
        <v>375</v>
      </c>
      <c r="C301" s="41"/>
      <c r="D301" s="41"/>
      <c r="E301" s="41"/>
      <c r="F301" s="41"/>
      <c r="G301" s="41"/>
      <c r="H301" s="1057" t="s">
        <v>2357</v>
      </c>
      <c r="I301" s="1057"/>
      <c r="J301" s="1057"/>
      <c r="K301" s="1057"/>
      <c r="L301" s="1057"/>
      <c r="M301" s="1057"/>
      <c r="N301" s="5" t="s">
        <v>818</v>
      </c>
      <c r="O301" s="5"/>
      <c r="P301" s="1053"/>
      <c r="Q301" s="1053"/>
      <c r="R301" s="1053"/>
      <c r="S301" s="41"/>
      <c r="T301" s="41" t="s">
        <v>375</v>
      </c>
      <c r="V301" s="41"/>
      <c r="W301" s="41"/>
      <c r="X301" s="41"/>
      <c r="Y301" s="41"/>
      <c r="AA301" s="1057" t="s">
        <v>2363</v>
      </c>
      <c r="AB301" s="1057"/>
      <c r="AC301" s="1057"/>
      <c r="AD301" s="1057"/>
      <c r="AE301" s="1057"/>
      <c r="AF301" s="1057"/>
      <c r="AG301" s="5" t="s">
        <v>818</v>
      </c>
      <c r="AH301" s="5"/>
      <c r="AI301" s="1053"/>
      <c r="AJ301" s="1053"/>
      <c r="AK301" s="1053"/>
      <c r="BA301" s="43"/>
    </row>
    <row r="302" spans="2:53" ht="12.9"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c r="AB302" s="1058"/>
      <c r="AC302" s="1058"/>
      <c r="AD302" s="1058"/>
      <c r="AE302" s="1058"/>
      <c r="AF302" s="1058"/>
      <c r="AG302" s="5"/>
      <c r="AH302" s="5"/>
      <c r="AI302" s="44"/>
      <c r="AJ302" s="44"/>
      <c r="AK302" s="44"/>
      <c r="BA302" s="43"/>
    </row>
    <row r="303" spans="2:53" ht="12.9" customHeight="1">
      <c r="B303" s="41" t="s">
        <v>702</v>
      </c>
      <c r="C303" s="41"/>
      <c r="D303" s="41"/>
      <c r="E303" s="41"/>
      <c r="F303" s="41"/>
      <c r="G303" s="41"/>
      <c r="H303" s="1054" t="s">
        <v>2358</v>
      </c>
      <c r="I303" s="1054"/>
      <c r="J303" s="1054"/>
      <c r="K303" s="1054"/>
      <c r="L303" s="1054"/>
      <c r="M303" s="1054"/>
      <c r="N303" s="1056"/>
      <c r="O303" s="1056"/>
      <c r="P303" s="1056"/>
      <c r="Q303" s="1056"/>
      <c r="R303" s="1056"/>
      <c r="S303" s="41"/>
      <c r="T303" s="41" t="s">
        <v>702</v>
      </c>
      <c r="V303" s="41"/>
      <c r="W303" s="41"/>
      <c r="X303" s="41"/>
      <c r="Y303" s="41"/>
      <c r="AA303" s="1054" t="s">
        <v>2364</v>
      </c>
      <c r="AB303" s="1054"/>
      <c r="AC303" s="1054"/>
      <c r="AD303" s="1054"/>
      <c r="AE303" s="1054"/>
      <c r="AF303" s="1054"/>
      <c r="AG303" s="1056"/>
      <c r="AH303" s="1056"/>
      <c r="AI303" s="1056"/>
      <c r="AJ303" s="1056"/>
      <c r="AK303" s="1056"/>
      <c r="BA303" s="43"/>
    </row>
    <row r="304" spans="2:53" ht="12.9" customHeight="1">
      <c r="BA304" s="43"/>
    </row>
    <row r="305" spans="2:53" ht="12.9" customHeight="1">
      <c r="B305" s="41" t="s">
        <v>703</v>
      </c>
      <c r="C305" s="41"/>
      <c r="D305" s="41"/>
      <c r="E305" s="41"/>
      <c r="F305" s="41"/>
      <c r="H305" s="1056" t="s">
        <v>2365</v>
      </c>
      <c r="I305" s="1056"/>
      <c r="J305" s="1056"/>
      <c r="K305" s="1056"/>
      <c r="L305" s="1056"/>
      <c r="M305" s="1056"/>
      <c r="N305" s="1056"/>
      <c r="O305" s="1056"/>
      <c r="P305" s="1056"/>
      <c r="Q305" s="1056"/>
      <c r="R305" s="1056"/>
      <c r="T305" s="5" t="s">
        <v>1105</v>
      </c>
      <c r="V305" s="41"/>
      <c r="W305" s="41"/>
      <c r="X305" s="41"/>
      <c r="Y305" s="41"/>
      <c r="AA305" s="1056" t="s">
        <v>2365</v>
      </c>
      <c r="AB305" s="1056"/>
      <c r="AC305" s="1056"/>
      <c r="AD305" s="1056"/>
      <c r="AE305" s="1056"/>
      <c r="AF305" s="1056"/>
      <c r="AG305" s="1056"/>
      <c r="AH305" s="1056"/>
      <c r="AI305" s="1056"/>
      <c r="AJ305" s="1056"/>
      <c r="AK305" s="1056"/>
      <c r="BA305" s="43"/>
    </row>
    <row r="306" spans="2:53" ht="12.9" customHeight="1">
      <c r="B306" s="41" t="s">
        <v>699</v>
      </c>
      <c r="C306" s="41"/>
      <c r="D306" s="41"/>
      <c r="E306" s="41"/>
      <c r="F306" s="41"/>
      <c r="H306" s="1054"/>
      <c r="I306" s="1054"/>
      <c r="J306" s="1054"/>
      <c r="K306" s="1054"/>
      <c r="L306" s="1054"/>
      <c r="M306" s="1054"/>
      <c r="N306" s="1054"/>
      <c r="O306" s="1054"/>
      <c r="P306" s="1054"/>
      <c r="Q306" s="1054"/>
      <c r="R306" s="1054"/>
      <c r="T306" s="41" t="s">
        <v>699</v>
      </c>
      <c r="V306" s="41"/>
      <c r="W306" s="41"/>
      <c r="X306" s="41"/>
      <c r="Y306" s="41"/>
      <c r="AA306" s="1054"/>
      <c r="AB306" s="1054"/>
      <c r="AC306" s="1054"/>
      <c r="AD306" s="1054"/>
      <c r="AE306" s="1054"/>
      <c r="AF306" s="1054"/>
      <c r="AG306" s="1054"/>
      <c r="AH306" s="1054"/>
      <c r="AI306" s="1054"/>
      <c r="AJ306" s="1054"/>
      <c r="AK306" s="1054"/>
      <c r="BA306" s="43"/>
    </row>
    <row r="307" spans="2:53" ht="12.9" customHeight="1">
      <c r="B307" s="41" t="s">
        <v>701</v>
      </c>
      <c r="C307" s="41"/>
      <c r="D307" s="41"/>
      <c r="E307" s="41"/>
      <c r="F307" s="41"/>
      <c r="H307" s="1054"/>
      <c r="I307" s="1054"/>
      <c r="J307" s="1054"/>
      <c r="K307" s="1054"/>
      <c r="L307" s="1054"/>
      <c r="M307" s="1054"/>
      <c r="N307" s="1054"/>
      <c r="O307" s="1054"/>
      <c r="P307" s="1054"/>
      <c r="Q307" s="1054"/>
      <c r="R307" s="1054"/>
      <c r="T307" s="41" t="s">
        <v>700</v>
      </c>
      <c r="V307" s="41"/>
      <c r="W307" s="41"/>
      <c r="X307" s="41"/>
      <c r="Y307" s="41"/>
      <c r="AA307" s="1054"/>
      <c r="AB307" s="1054"/>
      <c r="AC307" s="1054"/>
      <c r="AD307" s="1054"/>
      <c r="AE307" s="1054"/>
      <c r="AF307" s="1054"/>
      <c r="AG307" s="1054"/>
      <c r="AH307" s="1054"/>
      <c r="AI307" s="1054"/>
      <c r="AJ307" s="1054"/>
      <c r="AK307" s="1054"/>
      <c r="BA307" s="43"/>
    </row>
    <row r="308" spans="2:53" ht="12.9" customHeight="1">
      <c r="B308" s="41" t="s">
        <v>374</v>
      </c>
      <c r="C308" s="41"/>
      <c r="D308" s="41"/>
      <c r="E308" s="41"/>
      <c r="F308" s="41"/>
      <c r="H308" s="1054"/>
      <c r="I308" s="1054"/>
      <c r="J308" s="1054"/>
      <c r="K308" s="1054"/>
      <c r="L308" s="1054"/>
      <c r="M308" s="1054"/>
      <c r="N308" s="1054"/>
      <c r="O308" s="1054"/>
      <c r="P308" s="1054"/>
      <c r="Q308" s="1054"/>
      <c r="R308" s="1054"/>
      <c r="T308" s="41" t="s">
        <v>374</v>
      </c>
      <c r="V308" s="41"/>
      <c r="W308" s="41"/>
      <c r="X308" s="41"/>
      <c r="Y308" s="41"/>
      <c r="AA308" s="1054"/>
      <c r="AB308" s="1054"/>
      <c r="AC308" s="1054"/>
      <c r="AD308" s="1054"/>
      <c r="AE308" s="1054"/>
      <c r="AF308" s="1054"/>
      <c r="AG308" s="1054"/>
      <c r="AH308" s="1054"/>
      <c r="AI308" s="1054"/>
      <c r="AJ308" s="1054"/>
      <c r="AK308" s="1054"/>
      <c r="BA308" s="43"/>
    </row>
    <row r="309" spans="2:53" ht="12.9" customHeight="1">
      <c r="B309" s="41" t="s">
        <v>375</v>
      </c>
      <c r="C309" s="41"/>
      <c r="D309" s="41"/>
      <c r="E309" s="41"/>
      <c r="F309" s="41"/>
      <c r="G309" s="41"/>
      <c r="H309" s="1057"/>
      <c r="I309" s="1057"/>
      <c r="J309" s="1057"/>
      <c r="K309" s="1057"/>
      <c r="L309" s="1057"/>
      <c r="M309" s="1057"/>
      <c r="N309" s="5" t="s">
        <v>818</v>
      </c>
      <c r="O309" s="5"/>
      <c r="P309" s="1053"/>
      <c r="Q309" s="1053"/>
      <c r="R309" s="1053"/>
      <c r="S309" s="41"/>
      <c r="T309" s="41" t="s">
        <v>375</v>
      </c>
      <c r="V309" s="41"/>
      <c r="W309" s="41"/>
      <c r="X309" s="41"/>
      <c r="Y309" s="41"/>
      <c r="AA309" s="1057"/>
      <c r="AB309" s="1057"/>
      <c r="AC309" s="1057"/>
      <c r="AD309" s="1057"/>
      <c r="AE309" s="1057"/>
      <c r="AF309" s="1057"/>
      <c r="AG309" s="5" t="s">
        <v>818</v>
      </c>
      <c r="AH309" s="5"/>
      <c r="AI309" s="1053"/>
      <c r="AJ309" s="1053"/>
      <c r="AK309" s="1053"/>
      <c r="BA309" s="43"/>
    </row>
    <row r="310" spans="2:53" ht="12.9"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 customHeight="1">
      <c r="B311" s="41" t="s">
        <v>702</v>
      </c>
      <c r="C311" s="41"/>
      <c r="D311" s="41"/>
      <c r="E311" s="41"/>
      <c r="F311" s="41"/>
      <c r="G311" s="41"/>
      <c r="H311" s="1054"/>
      <c r="I311" s="1054"/>
      <c r="J311" s="1054"/>
      <c r="K311" s="1054"/>
      <c r="L311" s="1054"/>
      <c r="M311" s="1054"/>
      <c r="N311" s="1056"/>
      <c r="O311" s="1056"/>
      <c r="P311" s="1056"/>
      <c r="Q311" s="1056"/>
      <c r="R311" s="1056"/>
      <c r="S311" s="41"/>
      <c r="T311" s="41" t="s">
        <v>702</v>
      </c>
      <c r="V311" s="41"/>
      <c r="W311" s="41"/>
      <c r="X311" s="41"/>
      <c r="Y311" s="41"/>
      <c r="AA311" s="1054"/>
      <c r="AB311" s="1054"/>
      <c r="AC311" s="1054"/>
      <c r="AD311" s="1054"/>
      <c r="AE311" s="1054"/>
      <c r="AF311" s="1054"/>
      <c r="AG311" s="1056"/>
      <c r="AH311" s="1056"/>
      <c r="AI311" s="1056"/>
      <c r="AJ311" s="1056"/>
      <c r="AK311" s="1056"/>
      <c r="BA311" s="43"/>
    </row>
    <row r="312" spans="2:53" ht="12.9" customHeight="1">
      <c r="BA312" s="43"/>
    </row>
    <row r="313" spans="2:53" ht="12.9" customHeight="1">
      <c r="B313" s="5" t="s">
        <v>1146</v>
      </c>
      <c r="C313" s="41"/>
      <c r="D313" s="41"/>
      <c r="E313" s="41"/>
      <c r="F313" s="41"/>
      <c r="H313" s="1056" t="s">
        <v>2366</v>
      </c>
      <c r="I313" s="1056"/>
      <c r="J313" s="1056"/>
      <c r="K313" s="1056"/>
      <c r="L313" s="1056"/>
      <c r="M313" s="1056"/>
      <c r="N313" s="1056"/>
      <c r="O313" s="1056"/>
      <c r="P313" s="1056"/>
      <c r="Q313" s="1056"/>
      <c r="R313" s="1056"/>
      <c r="T313" s="41" t="s">
        <v>36</v>
      </c>
      <c r="V313" s="41"/>
      <c r="W313" s="41"/>
      <c r="X313" s="41"/>
      <c r="Y313" s="41"/>
      <c r="AA313" s="1056" t="s">
        <v>2372</v>
      </c>
      <c r="AB313" s="1056"/>
      <c r="AC313" s="1056"/>
      <c r="AD313" s="1056"/>
      <c r="AE313" s="1056"/>
      <c r="AF313" s="1056"/>
      <c r="AG313" s="1056"/>
      <c r="AH313" s="1056"/>
      <c r="AI313" s="1056"/>
      <c r="AJ313" s="1056"/>
      <c r="AK313" s="1056"/>
      <c r="BA313" s="43"/>
    </row>
    <row r="314" spans="2:53" ht="12.9" customHeight="1">
      <c r="B314" s="41" t="s">
        <v>699</v>
      </c>
      <c r="C314" s="41"/>
      <c r="D314" s="41"/>
      <c r="E314" s="41"/>
      <c r="F314" s="41"/>
      <c r="H314" s="1054" t="s">
        <v>2367</v>
      </c>
      <c r="I314" s="1054"/>
      <c r="J314" s="1054"/>
      <c r="K314" s="1054"/>
      <c r="L314" s="1054"/>
      <c r="M314" s="1054"/>
      <c r="N314" s="1054"/>
      <c r="O314" s="1054"/>
      <c r="P314" s="1054"/>
      <c r="Q314" s="1054"/>
      <c r="R314" s="1054"/>
      <c r="T314" s="41" t="s">
        <v>699</v>
      </c>
      <c r="V314" s="41"/>
      <c r="W314" s="41"/>
      <c r="X314" s="41"/>
      <c r="Y314" s="41"/>
      <c r="AA314" s="1054" t="s">
        <v>2373</v>
      </c>
      <c r="AB314" s="1054"/>
      <c r="AC314" s="1054"/>
      <c r="AD314" s="1054"/>
      <c r="AE314" s="1054"/>
      <c r="AF314" s="1054"/>
      <c r="AG314" s="1054"/>
      <c r="AH314" s="1054"/>
      <c r="AI314" s="1054"/>
      <c r="AJ314" s="1054"/>
      <c r="AK314" s="1054"/>
      <c r="BA314" s="43"/>
    </row>
    <row r="315" spans="2:53" ht="12.9" customHeight="1">
      <c r="B315" s="41" t="s">
        <v>701</v>
      </c>
      <c r="C315" s="41"/>
      <c r="D315" s="41"/>
      <c r="E315" s="41"/>
      <c r="F315" s="41"/>
      <c r="H315" s="1054" t="s">
        <v>2368</v>
      </c>
      <c r="I315" s="1054"/>
      <c r="J315" s="1054"/>
      <c r="K315" s="1054"/>
      <c r="L315" s="1054"/>
      <c r="M315" s="1054"/>
      <c r="N315" s="1054"/>
      <c r="O315" s="1054"/>
      <c r="P315" s="1054"/>
      <c r="Q315" s="1054"/>
      <c r="R315" s="1054"/>
      <c r="T315" s="41" t="s">
        <v>700</v>
      </c>
      <c r="V315" s="41"/>
      <c r="W315" s="41"/>
      <c r="X315" s="41"/>
      <c r="Y315" s="41"/>
      <c r="AA315" s="1054" t="s">
        <v>2374</v>
      </c>
      <c r="AB315" s="1054"/>
      <c r="AC315" s="1054"/>
      <c r="AD315" s="1054"/>
      <c r="AE315" s="1054"/>
      <c r="AF315" s="1054"/>
      <c r="AG315" s="1054"/>
      <c r="AH315" s="1054"/>
      <c r="AI315" s="1054"/>
      <c r="AJ315" s="1054"/>
      <c r="AK315" s="1054"/>
      <c r="BA315" s="43"/>
    </row>
    <row r="316" spans="2:53" ht="12.9" customHeight="1">
      <c r="B316" s="41" t="s">
        <v>374</v>
      </c>
      <c r="C316" s="41"/>
      <c r="D316" s="41"/>
      <c r="E316" s="41"/>
      <c r="F316" s="41"/>
      <c r="H316" s="1054" t="s">
        <v>2369</v>
      </c>
      <c r="I316" s="1054"/>
      <c r="J316" s="1054"/>
      <c r="K316" s="1054"/>
      <c r="L316" s="1054"/>
      <c r="M316" s="1054"/>
      <c r="N316" s="1054"/>
      <c r="O316" s="1054"/>
      <c r="P316" s="1054"/>
      <c r="Q316" s="1054"/>
      <c r="R316" s="1054"/>
      <c r="T316" s="41" t="s">
        <v>374</v>
      </c>
      <c r="V316" s="41"/>
      <c r="W316" s="41"/>
      <c r="X316" s="41"/>
      <c r="Y316" s="41"/>
      <c r="AA316" s="1054" t="s">
        <v>2375</v>
      </c>
      <c r="AB316" s="1054"/>
      <c r="AC316" s="1054"/>
      <c r="AD316" s="1054"/>
      <c r="AE316" s="1054"/>
      <c r="AF316" s="1054"/>
      <c r="AG316" s="1054"/>
      <c r="AH316" s="1054"/>
      <c r="AI316" s="1054"/>
      <c r="AJ316" s="1054"/>
      <c r="AK316" s="1054"/>
      <c r="BA316" s="43"/>
    </row>
    <row r="317" spans="2:53" ht="12.9" customHeight="1">
      <c r="B317" s="41" t="s">
        <v>375</v>
      </c>
      <c r="C317" s="41"/>
      <c r="D317" s="41"/>
      <c r="E317" s="41"/>
      <c r="F317" s="41"/>
      <c r="G317" s="41"/>
      <c r="H317" s="1057" t="s">
        <v>2370</v>
      </c>
      <c r="I317" s="1057"/>
      <c r="J317" s="1057"/>
      <c r="K317" s="1057"/>
      <c r="L317" s="1057"/>
      <c r="M317" s="1057"/>
      <c r="N317" s="5" t="s">
        <v>818</v>
      </c>
      <c r="O317" s="5"/>
      <c r="P317" s="1053"/>
      <c r="Q317" s="1053"/>
      <c r="R317" s="1053"/>
      <c r="S317" s="41"/>
      <c r="T317" s="41" t="s">
        <v>375</v>
      </c>
      <c r="V317" s="41"/>
      <c r="W317" s="41"/>
      <c r="X317" s="41"/>
      <c r="Y317" s="41"/>
      <c r="AA317" s="1057" t="s">
        <v>2376</v>
      </c>
      <c r="AB317" s="1057"/>
      <c r="AC317" s="1057"/>
      <c r="AD317" s="1057"/>
      <c r="AE317" s="1057"/>
      <c r="AF317" s="1057"/>
      <c r="AG317" s="5" t="s">
        <v>818</v>
      </c>
      <c r="AH317" s="5"/>
      <c r="AI317" s="1053"/>
      <c r="AJ317" s="1053"/>
      <c r="AK317" s="1053"/>
      <c r="BA317" s="43"/>
    </row>
    <row r="318" spans="2:53" ht="12.9"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 customHeight="1">
      <c r="B319" s="41" t="s">
        <v>702</v>
      </c>
      <c r="C319" s="41"/>
      <c r="D319" s="41"/>
      <c r="E319" s="41"/>
      <c r="F319" s="41"/>
      <c r="G319" s="41"/>
      <c r="H319" s="1054" t="s">
        <v>2371</v>
      </c>
      <c r="I319" s="1054"/>
      <c r="J319" s="1054"/>
      <c r="K319" s="1054"/>
      <c r="L319" s="1054"/>
      <c r="M319" s="1054"/>
      <c r="N319" s="1056"/>
      <c r="O319" s="1056"/>
      <c r="P319" s="1056"/>
      <c r="Q319" s="1056"/>
      <c r="R319" s="1056"/>
      <c r="S319" s="41"/>
      <c r="T319" s="41" t="s">
        <v>702</v>
      </c>
      <c r="V319" s="41"/>
      <c r="W319" s="41"/>
      <c r="X319" s="41"/>
      <c r="Y319" s="41"/>
      <c r="AA319" s="1054" t="s">
        <v>2377</v>
      </c>
      <c r="AB319" s="1054"/>
      <c r="AC319" s="1054"/>
      <c r="AD319" s="1054"/>
      <c r="AE319" s="1054"/>
      <c r="AF319" s="1054"/>
      <c r="AG319" s="1056"/>
      <c r="AH319" s="1056"/>
      <c r="AI319" s="1056"/>
      <c r="AJ319" s="1056"/>
      <c r="AK319" s="105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056" t="s">
        <v>2321</v>
      </c>
      <c r="I321" s="1056"/>
      <c r="J321" s="1056"/>
      <c r="K321" s="1056"/>
      <c r="L321" s="1056"/>
      <c r="M321" s="1056"/>
      <c r="N321" s="1056"/>
      <c r="O321" s="1056"/>
      <c r="P321" s="1056"/>
      <c r="Q321" s="1056"/>
      <c r="R321" s="1056"/>
      <c r="T321" s="41" t="s">
        <v>37</v>
      </c>
      <c r="V321" s="41"/>
      <c r="W321" s="41"/>
      <c r="X321" s="41"/>
      <c r="Y321" s="41"/>
      <c r="AA321" s="1056" t="s">
        <v>2380</v>
      </c>
      <c r="AB321" s="1056"/>
      <c r="AC321" s="1056"/>
      <c r="AD321" s="1056"/>
      <c r="AE321" s="1056"/>
      <c r="AF321" s="1056"/>
      <c r="AG321" s="1056"/>
      <c r="AH321" s="1056"/>
      <c r="AI321" s="1056"/>
      <c r="AJ321" s="1056"/>
      <c r="AK321" s="1056"/>
      <c r="BA321" s="43"/>
    </row>
    <row r="322" spans="2:53" ht="12.9" customHeight="1">
      <c r="B322" s="41" t="s">
        <v>699</v>
      </c>
      <c r="C322" s="41"/>
      <c r="D322" s="41"/>
      <c r="E322" s="41"/>
      <c r="F322" s="41"/>
      <c r="H322" s="1054" t="s">
        <v>2378</v>
      </c>
      <c r="I322" s="1054"/>
      <c r="J322" s="1054"/>
      <c r="K322" s="1054"/>
      <c r="L322" s="1054"/>
      <c r="M322" s="1054"/>
      <c r="N322" s="1054"/>
      <c r="O322" s="1054"/>
      <c r="P322" s="1054"/>
      <c r="Q322" s="1054"/>
      <c r="R322" s="1054"/>
      <c r="T322" s="41" t="s">
        <v>699</v>
      </c>
      <c r="V322" s="41"/>
      <c r="W322" s="41"/>
      <c r="X322" s="41"/>
      <c r="Y322" s="41"/>
      <c r="AA322" s="1054" t="s">
        <v>2381</v>
      </c>
      <c r="AB322" s="1054"/>
      <c r="AC322" s="1054"/>
      <c r="AD322" s="1054"/>
      <c r="AE322" s="1054"/>
      <c r="AF322" s="1054"/>
      <c r="AG322" s="1054"/>
      <c r="AH322" s="1054"/>
      <c r="AI322" s="1054"/>
      <c r="AJ322" s="1054"/>
      <c r="AK322" s="1054"/>
      <c r="BA322" s="43"/>
    </row>
    <row r="323" spans="2:53" ht="12.9" customHeight="1">
      <c r="B323" s="41" t="s">
        <v>701</v>
      </c>
      <c r="C323" s="41"/>
      <c r="D323" s="41"/>
      <c r="E323" s="41"/>
      <c r="F323" s="41"/>
      <c r="H323" s="1054" t="s">
        <v>2379</v>
      </c>
      <c r="I323" s="1054"/>
      <c r="J323" s="1054"/>
      <c r="K323" s="1054"/>
      <c r="L323" s="1054"/>
      <c r="M323" s="1054"/>
      <c r="N323" s="1054"/>
      <c r="O323" s="1054"/>
      <c r="P323" s="1054"/>
      <c r="Q323" s="1054"/>
      <c r="R323" s="1054"/>
      <c r="T323" s="41" t="s">
        <v>700</v>
      </c>
      <c r="V323" s="41"/>
      <c r="W323" s="41"/>
      <c r="X323" s="41"/>
      <c r="Y323" s="41"/>
      <c r="AA323" s="1054" t="s">
        <v>2382</v>
      </c>
      <c r="AB323" s="1054"/>
      <c r="AC323" s="1054"/>
      <c r="AD323" s="1054"/>
      <c r="AE323" s="1054"/>
      <c r="AF323" s="1054"/>
      <c r="AG323" s="1054"/>
      <c r="AH323" s="1054"/>
      <c r="AI323" s="1054"/>
      <c r="AJ323" s="1054"/>
      <c r="AK323" s="1054"/>
      <c r="BA323" s="43"/>
    </row>
    <row r="324" spans="2:53" ht="12.9" customHeight="1">
      <c r="B324" s="41" t="s">
        <v>374</v>
      </c>
      <c r="C324" s="41"/>
      <c r="D324" s="41"/>
      <c r="E324" s="41"/>
      <c r="F324" s="41"/>
      <c r="H324" s="1054" t="s">
        <v>2334</v>
      </c>
      <c r="I324" s="1054"/>
      <c r="J324" s="1054"/>
      <c r="K324" s="1054"/>
      <c r="L324" s="1054"/>
      <c r="M324" s="1054"/>
      <c r="N324" s="1054"/>
      <c r="O324" s="1054"/>
      <c r="P324" s="1054"/>
      <c r="Q324" s="1054"/>
      <c r="R324" s="1054"/>
      <c r="T324" s="41" t="s">
        <v>374</v>
      </c>
      <c r="V324" s="41"/>
      <c r="W324" s="41"/>
      <c r="X324" s="41"/>
      <c r="Y324" s="41"/>
      <c r="AA324" s="1054" t="s">
        <v>2383</v>
      </c>
      <c r="AB324" s="1054"/>
      <c r="AC324" s="1054"/>
      <c r="AD324" s="1054"/>
      <c r="AE324" s="1054"/>
      <c r="AF324" s="1054"/>
      <c r="AG324" s="1054"/>
      <c r="AH324" s="1054"/>
      <c r="AI324" s="1054"/>
      <c r="AJ324" s="1054"/>
      <c r="AK324" s="1054"/>
      <c r="BA324" s="43"/>
    </row>
    <row r="325" spans="2:53" ht="12.9" customHeight="1">
      <c r="B325" s="41" t="s">
        <v>375</v>
      </c>
      <c r="C325" s="41"/>
      <c r="D325" s="41"/>
      <c r="E325" s="41"/>
      <c r="F325" s="41"/>
      <c r="G325" s="41"/>
      <c r="H325" s="1057" t="s">
        <v>2335</v>
      </c>
      <c r="I325" s="1057"/>
      <c r="J325" s="1057"/>
      <c r="K325" s="1057"/>
      <c r="L325" s="1057"/>
      <c r="M325" s="1057"/>
      <c r="N325" s="5" t="s">
        <v>818</v>
      </c>
      <c r="O325" s="5"/>
      <c r="P325" s="1053"/>
      <c r="Q325" s="1053"/>
      <c r="R325" s="1053"/>
      <c r="S325" s="41"/>
      <c r="T325" s="41" t="s">
        <v>375</v>
      </c>
      <c r="V325" s="41"/>
      <c r="W325" s="41"/>
      <c r="X325" s="41"/>
      <c r="Y325" s="41"/>
      <c r="AA325" s="1057">
        <v>9163726100</v>
      </c>
      <c r="AB325" s="1057"/>
      <c r="AC325" s="1057"/>
      <c r="AD325" s="1057"/>
      <c r="AE325" s="1057"/>
      <c r="AF325" s="1057"/>
      <c r="AG325" s="5" t="s">
        <v>818</v>
      </c>
      <c r="AH325" s="5"/>
      <c r="AI325" s="1053"/>
      <c r="AJ325" s="1053"/>
      <c r="AK325" s="1053"/>
      <c r="BA325" s="43"/>
    </row>
    <row r="326" spans="2:53" ht="12.9"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c r="AB326" s="1058"/>
      <c r="AC326" s="1058"/>
      <c r="AD326" s="1058"/>
      <c r="AE326" s="1058"/>
      <c r="AF326" s="1058"/>
      <c r="AG326" s="5"/>
      <c r="AH326" s="5"/>
      <c r="AI326" s="44"/>
      <c r="AJ326" s="44"/>
      <c r="AK326" s="44"/>
      <c r="BA326" s="43"/>
    </row>
    <row r="327" spans="2:53" ht="12.9" customHeight="1">
      <c r="B327" s="41" t="s">
        <v>702</v>
      </c>
      <c r="C327" s="41"/>
      <c r="D327" s="41"/>
      <c r="E327" s="41"/>
      <c r="F327" s="41"/>
      <c r="G327" s="41"/>
      <c r="H327" s="1054" t="s">
        <v>2336</v>
      </c>
      <c r="I327" s="1054"/>
      <c r="J327" s="1054"/>
      <c r="K327" s="1054"/>
      <c r="L327" s="1054"/>
      <c r="M327" s="1054"/>
      <c r="N327" s="1056"/>
      <c r="O327" s="1056"/>
      <c r="P327" s="1056"/>
      <c r="Q327" s="1056"/>
      <c r="R327" s="1056"/>
      <c r="S327" s="41"/>
      <c r="T327" s="41" t="s">
        <v>702</v>
      </c>
      <c r="V327" s="41"/>
      <c r="W327" s="41"/>
      <c r="X327" s="41"/>
      <c r="Y327" s="41"/>
      <c r="AA327" s="1054" t="s">
        <v>2384</v>
      </c>
      <c r="AB327" s="1054"/>
      <c r="AC327" s="1054"/>
      <c r="AD327" s="1054"/>
      <c r="AE327" s="1054"/>
      <c r="AF327" s="1054"/>
      <c r="AG327" s="1056"/>
      <c r="AH327" s="1056"/>
      <c r="AI327" s="1056"/>
      <c r="AJ327" s="1056"/>
      <c r="AK327" s="105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6" t="s">
        <v>2385</v>
      </c>
      <c r="I329" s="1056"/>
      <c r="J329" s="1056"/>
      <c r="K329" s="1056"/>
      <c r="L329" s="1056"/>
      <c r="M329" s="1056"/>
      <c r="N329" s="1056"/>
      <c r="O329" s="1056"/>
      <c r="P329" s="1056"/>
      <c r="Q329" s="1056"/>
      <c r="R329" s="1056"/>
      <c r="T329" s="5" t="s">
        <v>1106</v>
      </c>
      <c r="V329" s="41"/>
      <c r="W329" s="41"/>
      <c r="X329" s="41"/>
      <c r="Y329" s="41"/>
      <c r="AA329" s="1056" t="s">
        <v>2391</v>
      </c>
      <c r="AB329" s="1056"/>
      <c r="AC329" s="1056"/>
      <c r="AD329" s="1056"/>
      <c r="AE329" s="1056"/>
      <c r="AF329" s="1056"/>
      <c r="AG329" s="1056"/>
      <c r="AH329" s="1056"/>
      <c r="AI329" s="1056"/>
      <c r="AJ329" s="1056"/>
      <c r="AK329" s="1056"/>
      <c r="BA329" s="43"/>
    </row>
    <row r="330" spans="2:53" ht="12.9" customHeight="1">
      <c r="B330" s="41" t="s">
        <v>699</v>
      </c>
      <c r="C330" s="41"/>
      <c r="D330" s="41"/>
      <c r="E330" s="41"/>
      <c r="F330" s="41"/>
      <c r="H330" s="1054" t="s">
        <v>2386</v>
      </c>
      <c r="I330" s="1054"/>
      <c r="J330" s="1054"/>
      <c r="K330" s="1054"/>
      <c r="L330" s="1054"/>
      <c r="M330" s="1054"/>
      <c r="N330" s="1054"/>
      <c r="O330" s="1054"/>
      <c r="P330" s="1054"/>
      <c r="Q330" s="1054"/>
      <c r="R330" s="1054"/>
      <c r="T330" s="41" t="s">
        <v>699</v>
      </c>
      <c r="V330" s="41"/>
      <c r="W330" s="41"/>
      <c r="X330" s="41"/>
      <c r="Y330" s="41"/>
      <c r="AA330" s="1054" t="s">
        <v>2392</v>
      </c>
      <c r="AB330" s="1054"/>
      <c r="AC330" s="1054"/>
      <c r="AD330" s="1054"/>
      <c r="AE330" s="1054"/>
      <c r="AF330" s="1054"/>
      <c r="AG330" s="1054"/>
      <c r="AH330" s="1054"/>
      <c r="AI330" s="1054"/>
      <c r="AJ330" s="1054"/>
      <c r="AK330" s="1054"/>
      <c r="BA330" s="43"/>
    </row>
    <row r="331" spans="2:53" ht="12.9" customHeight="1">
      <c r="B331" s="41" t="s">
        <v>701</v>
      </c>
      <c r="C331" s="41"/>
      <c r="D331" s="41"/>
      <c r="E331" s="41"/>
      <c r="F331" s="41"/>
      <c r="G331" s="41"/>
      <c r="H331" s="1054" t="s">
        <v>2387</v>
      </c>
      <c r="I331" s="1054"/>
      <c r="J331" s="1054"/>
      <c r="K331" s="1054"/>
      <c r="L331" s="1054"/>
      <c r="M331" s="1054"/>
      <c r="N331" s="1054"/>
      <c r="O331" s="1054"/>
      <c r="P331" s="1054"/>
      <c r="Q331" s="1054"/>
      <c r="R331" s="1054"/>
      <c r="T331" s="41" t="s">
        <v>700</v>
      </c>
      <c r="V331" s="41"/>
      <c r="W331" s="41"/>
      <c r="X331" s="41"/>
      <c r="Y331" s="41"/>
      <c r="AA331" s="1054" t="s">
        <v>2393</v>
      </c>
      <c r="AB331" s="1054"/>
      <c r="AC331" s="1054"/>
      <c r="AD331" s="1054"/>
      <c r="AE331" s="1054"/>
      <c r="AF331" s="1054"/>
      <c r="AG331" s="1054"/>
      <c r="AH331" s="1054"/>
      <c r="AI331" s="1054"/>
      <c r="AJ331" s="1054"/>
      <c r="AK331" s="1054"/>
      <c r="BA331" s="43"/>
    </row>
    <row r="332" spans="2:53" ht="12.9" customHeight="1">
      <c r="B332" s="41" t="s">
        <v>374</v>
      </c>
      <c r="C332" s="41"/>
      <c r="D332" s="41"/>
      <c r="E332" s="41"/>
      <c r="F332" s="41"/>
      <c r="H332" s="1054" t="s">
        <v>2388</v>
      </c>
      <c r="I332" s="1054"/>
      <c r="J332" s="1054"/>
      <c r="K332" s="1054"/>
      <c r="L332" s="1054"/>
      <c r="M332" s="1054"/>
      <c r="N332" s="1054"/>
      <c r="O332" s="1054"/>
      <c r="P332" s="1054"/>
      <c r="Q332" s="1054"/>
      <c r="R332" s="1054"/>
      <c r="T332" s="41" t="s">
        <v>374</v>
      </c>
      <c r="V332" s="41"/>
      <c r="W332" s="41"/>
      <c r="X332" s="41"/>
      <c r="Y332" s="41"/>
      <c r="AA332" s="1054" t="s">
        <v>2394</v>
      </c>
      <c r="AB332" s="1054"/>
      <c r="AC332" s="1054"/>
      <c r="AD332" s="1054"/>
      <c r="AE332" s="1054"/>
      <c r="AF332" s="1054"/>
      <c r="AG332" s="1054"/>
      <c r="AH332" s="1054"/>
      <c r="AI332" s="1054"/>
      <c r="AJ332" s="1054"/>
      <c r="AK332" s="1054"/>
      <c r="BA332" s="43"/>
    </row>
    <row r="333" spans="2:53" ht="12.9" customHeight="1">
      <c r="B333" s="41" t="s">
        <v>375</v>
      </c>
      <c r="C333" s="41"/>
      <c r="D333" s="41"/>
      <c r="E333" s="41"/>
      <c r="F333" s="41"/>
      <c r="G333" s="41"/>
      <c r="H333" s="1057" t="s">
        <v>2389</v>
      </c>
      <c r="I333" s="1057"/>
      <c r="J333" s="1057"/>
      <c r="K333" s="1057"/>
      <c r="L333" s="1057"/>
      <c r="M333" s="1057"/>
      <c r="N333" s="5" t="s">
        <v>818</v>
      </c>
      <c r="O333" s="5"/>
      <c r="P333" s="1053"/>
      <c r="Q333" s="1053"/>
      <c r="R333" s="1053"/>
      <c r="T333" s="41" t="s">
        <v>375</v>
      </c>
      <c r="V333" s="41"/>
      <c r="W333" s="41"/>
      <c r="X333" s="41"/>
      <c r="Y333" s="41"/>
      <c r="AA333" s="1057" t="s">
        <v>2395</v>
      </c>
      <c r="AB333" s="1057"/>
      <c r="AC333" s="1057"/>
      <c r="AD333" s="1057"/>
      <c r="AE333" s="1057"/>
      <c r="AF333" s="1057"/>
      <c r="AG333" s="5" t="s">
        <v>818</v>
      </c>
      <c r="AH333" s="5"/>
      <c r="AI333" s="1053"/>
      <c r="AJ333" s="1053"/>
      <c r="AK333" s="1053"/>
      <c r="BA333" s="43"/>
    </row>
    <row r="334" spans="2:53" ht="12.9"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c r="AB334" s="1058"/>
      <c r="AC334" s="1058"/>
      <c r="AD334" s="1058"/>
      <c r="AE334" s="1058"/>
      <c r="AF334" s="1058"/>
      <c r="AG334" s="5"/>
      <c r="AH334" s="5"/>
      <c r="AI334" s="44"/>
      <c r="AJ334" s="44"/>
      <c r="AK334" s="44"/>
      <c r="BA334" s="43"/>
    </row>
    <row r="335" spans="2:53" ht="12.9" customHeight="1">
      <c r="B335" s="41" t="s">
        <v>702</v>
      </c>
      <c r="C335" s="41"/>
      <c r="D335" s="41"/>
      <c r="E335" s="41"/>
      <c r="F335" s="41"/>
      <c r="G335" s="41"/>
      <c r="H335" s="1054" t="s">
        <v>2390</v>
      </c>
      <c r="I335" s="1054"/>
      <c r="J335" s="1054"/>
      <c r="K335" s="1054"/>
      <c r="L335" s="1054"/>
      <c r="M335" s="1054"/>
      <c r="N335" s="1056"/>
      <c r="O335" s="1056"/>
      <c r="P335" s="1056"/>
      <c r="Q335" s="1056"/>
      <c r="R335" s="1056"/>
      <c r="T335" s="41" t="s">
        <v>702</v>
      </c>
      <c r="V335" s="41"/>
      <c r="W335" s="41"/>
      <c r="X335" s="41"/>
      <c r="Y335" s="41"/>
      <c r="AA335" s="1054" t="s">
        <v>2396</v>
      </c>
      <c r="AB335" s="1054"/>
      <c r="AC335" s="1054"/>
      <c r="AD335" s="1054"/>
      <c r="AE335" s="1054"/>
      <c r="AF335" s="1054"/>
      <c r="AG335" s="1056"/>
      <c r="AH335" s="1056"/>
      <c r="AI335" s="1056"/>
      <c r="AJ335" s="1056"/>
      <c r="AK335" s="105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6" t="s">
        <v>124</v>
      </c>
      <c r="I337" s="1056"/>
      <c r="J337" s="1056"/>
      <c r="K337" s="1056"/>
      <c r="L337" s="1056"/>
      <c r="M337" s="1056"/>
      <c r="N337" s="1056"/>
      <c r="O337" s="1056"/>
      <c r="P337" s="1056"/>
      <c r="Q337" s="1056"/>
      <c r="R337" s="1056"/>
      <c r="T337" s="361" t="s">
        <v>1145</v>
      </c>
      <c r="AA337" s="1056" t="s">
        <v>124</v>
      </c>
      <c r="AB337" s="1056"/>
      <c r="AC337" s="1056"/>
      <c r="AD337" s="1056"/>
      <c r="AE337" s="1056"/>
      <c r="AF337" s="1056"/>
      <c r="AG337" s="1056"/>
      <c r="AH337" s="1056"/>
      <c r="AI337" s="1056"/>
      <c r="AJ337" s="1056"/>
      <c r="AK337" s="1056"/>
      <c r="BA337" s="43"/>
    </row>
    <row r="338" spans="1:53" ht="12.9"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15" t="s">
        <v>108</v>
      </c>
      <c r="N349" s="1115"/>
      <c r="P349" t="s">
        <v>1961</v>
      </c>
      <c r="AJ349" s="1115" t="s">
        <v>124</v>
      </c>
      <c r="AK349" s="1115"/>
    </row>
    <row r="350" spans="1:53" ht="12.9" customHeight="1">
      <c r="D350" s="41" t="s">
        <v>1888</v>
      </c>
      <c r="M350" s="1115" t="s">
        <v>124</v>
      </c>
      <c r="N350" s="1115"/>
      <c r="P350" s="41" t="s">
        <v>1962</v>
      </c>
      <c r="AJ350" s="1144"/>
      <c r="AK350" s="1144"/>
    </row>
    <row r="351" spans="1:53" ht="12.9" customHeight="1">
      <c r="D351" t="s">
        <v>313</v>
      </c>
      <c r="M351" s="1115" t="s">
        <v>124</v>
      </c>
      <c r="N351" s="1115"/>
      <c r="P351" t="s">
        <v>1963</v>
      </c>
      <c r="AJ351" s="1115" t="s">
        <v>124</v>
      </c>
      <c r="AK351" s="1115"/>
    </row>
    <row r="352" spans="1:53" ht="12.9" customHeight="1">
      <c r="D352" t="s">
        <v>314</v>
      </c>
      <c r="M352" s="1115" t="s">
        <v>124</v>
      </c>
      <c r="N352" s="1115"/>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2.9" customHeight="1">
      <c r="E358" t="s">
        <v>733</v>
      </c>
      <c r="Y358" s="1115" t="s">
        <v>124</v>
      </c>
      <c r="Z358" s="1115"/>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15" t="s">
        <v>124</v>
      </c>
      <c r="K360" s="1115"/>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590</v>
      </c>
      <c r="F363" s="5"/>
      <c r="G363" s="5"/>
      <c r="H363" s="5"/>
      <c r="I363" s="5"/>
      <c r="J363" s="5"/>
      <c r="K363" s="5"/>
      <c r="L363" s="5"/>
      <c r="N363" s="1113"/>
      <c r="O363" s="1113"/>
      <c r="P363" s="1113"/>
      <c r="Q363" s="1113"/>
      <c r="R363" s="5"/>
      <c r="U363" s="5" t="s">
        <v>591</v>
      </c>
      <c r="V363" s="5"/>
      <c r="W363" s="5"/>
      <c r="X363" s="5"/>
      <c r="Y363" s="5"/>
      <c r="Z363" s="5"/>
      <c r="AA363" s="5"/>
      <c r="AB363" s="5"/>
      <c r="AC363" s="1113"/>
      <c r="AD363" s="1113"/>
      <c r="AE363" s="1113"/>
      <c r="AF363" s="1113"/>
      <c r="BE363" t="s">
        <v>108</v>
      </c>
    </row>
    <row r="364" spans="1:57" ht="12.9" customHeight="1">
      <c r="E364" s="5" t="s">
        <v>592</v>
      </c>
      <c r="F364" s="5"/>
      <c r="G364" s="5"/>
      <c r="H364" s="5"/>
      <c r="I364" s="5"/>
      <c r="J364" s="5"/>
      <c r="K364" s="5"/>
      <c r="L364" s="5"/>
      <c r="N364" s="1113"/>
      <c r="O364" s="1113"/>
      <c r="P364" s="1113"/>
      <c r="Q364" s="1113"/>
      <c r="R364" s="5"/>
      <c r="U364" s="5" t="s">
        <v>593</v>
      </c>
      <c r="V364" s="5"/>
      <c r="W364" s="5"/>
      <c r="X364" s="5"/>
      <c r="Y364" s="5"/>
      <c r="Z364" s="5"/>
      <c r="AA364" s="5"/>
      <c r="AB364" s="5"/>
      <c r="AC364" s="1113"/>
      <c r="AD364" s="1113"/>
      <c r="AE364" s="1113"/>
      <c r="AF364" s="1113"/>
    </row>
    <row r="365" spans="1:57" ht="12.9"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2.9"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39" t="s">
        <v>2104</v>
      </c>
      <c r="Q370" s="361" t="s">
        <v>231</v>
      </c>
      <c r="R370" s="361"/>
      <c r="S370" s="1345"/>
      <c r="T370" s="1345"/>
      <c r="U370" s="370" t="s">
        <v>232</v>
      </c>
      <c r="V370" s="1345"/>
      <c r="W370" s="1345"/>
      <c r="X370" s="361"/>
      <c r="Z370" s="361"/>
      <c r="AA370" s="939" t="s">
        <v>2104</v>
      </c>
      <c r="AB370" s="361" t="s">
        <v>231</v>
      </c>
      <c r="AC370" s="361"/>
      <c r="AD370" s="1345"/>
      <c r="AE370" s="1345"/>
      <c r="AF370" s="370" t="s">
        <v>232</v>
      </c>
      <c r="AG370" s="1345"/>
      <c r="AH370" s="1345"/>
    </row>
    <row r="371" spans="1:36" ht="12.9" customHeight="1">
      <c r="D371" s="361"/>
      <c r="E371" s="361" t="s">
        <v>1235</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6" t="s">
        <v>2397</v>
      </c>
      <c r="K378" s="1056"/>
      <c r="L378" s="1056"/>
      <c r="M378" s="1056"/>
      <c r="N378" s="1056"/>
      <c r="O378" s="1056"/>
      <c r="P378" s="1056"/>
      <c r="Q378" s="1056"/>
      <c r="R378" s="1056"/>
      <c r="S378" s="1056"/>
      <c r="T378" s="1056"/>
      <c r="U378" s="1056"/>
      <c r="V378" s="12" t="s">
        <v>710</v>
      </c>
      <c r="W378" s="12"/>
      <c r="X378" s="12"/>
      <c r="Y378" s="12"/>
      <c r="Z378" s="12"/>
      <c r="AA378" s="12"/>
      <c r="AB378" s="12"/>
      <c r="AC378" s="1056" t="s">
        <v>2398</v>
      </c>
      <c r="AD378" s="1056"/>
      <c r="AE378" s="1056"/>
      <c r="AF378" s="1056"/>
      <c r="AG378" s="1056"/>
      <c r="AH378" s="1056"/>
      <c r="AI378" s="1056"/>
      <c r="AJ378" s="1056"/>
    </row>
    <row r="379" spans="1:36" ht="12.9" customHeight="1">
      <c r="D379" s="41" t="s">
        <v>1964</v>
      </c>
      <c r="J379" s="1054" t="s">
        <v>2398</v>
      </c>
      <c r="K379" s="1054"/>
      <c r="L379" s="1054"/>
      <c r="M379" s="1054"/>
      <c r="N379" s="1054"/>
      <c r="O379" s="1054"/>
      <c r="P379" s="1054"/>
      <c r="Q379" s="1054"/>
      <c r="R379" s="1054"/>
      <c r="S379" s="1054"/>
      <c r="T379" s="1054"/>
      <c r="U379" s="1054"/>
      <c r="V379" s="41" t="s">
        <v>1964</v>
      </c>
      <c r="W379" s="12"/>
      <c r="X379" s="12"/>
      <c r="Y379" s="12"/>
      <c r="Z379" s="12"/>
      <c r="AA379" s="12"/>
      <c r="AB379" s="12"/>
      <c r="AC379" s="1056"/>
      <c r="AD379" s="1056"/>
      <c r="AE379" s="1056"/>
      <c r="AF379" s="1056"/>
      <c r="AG379" s="1056"/>
      <c r="AH379" s="1056"/>
      <c r="AI379" s="1056"/>
      <c r="AJ379" s="1056"/>
    </row>
    <row r="380" spans="1:36" ht="12.9" customHeight="1">
      <c r="D380" s="41" t="s">
        <v>544</v>
      </c>
      <c r="J380" s="1054" t="s">
        <v>2399</v>
      </c>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 customHeight="1">
      <c r="D381" t="s">
        <v>1965</v>
      </c>
      <c r="J381" s="1142" t="s">
        <v>2400</v>
      </c>
      <c r="K381" s="1142"/>
      <c r="L381" s="1142"/>
      <c r="M381" s="1142"/>
      <c r="N381" s="1142"/>
      <c r="O381" s="1142"/>
      <c r="P381" s="1142"/>
      <c r="Q381" s="1142"/>
      <c r="R381" s="1142"/>
      <c r="S381" s="1142"/>
      <c r="T381" s="1142"/>
      <c r="U381" s="1142"/>
      <c r="V381" s="1056" t="s">
        <v>2401</v>
      </c>
      <c r="W381" s="1056"/>
      <c r="X381" s="1056"/>
      <c r="Y381" s="1056"/>
      <c r="Z381" s="1056"/>
      <c r="AA381" s="1056"/>
      <c r="AB381" s="1056"/>
      <c r="AC381" s="1056"/>
      <c r="AD381" s="1056"/>
      <c r="AE381" s="1056"/>
      <c r="AF381" s="1056"/>
      <c r="AG381" s="1056"/>
      <c r="AH381" s="1056"/>
      <c r="AI381" s="1056"/>
      <c r="AJ381" s="1056"/>
    </row>
    <row r="382" spans="1:36" ht="12.9" customHeight="1">
      <c r="D382" t="s">
        <v>554</v>
      </c>
      <c r="Q382" s="1474">
        <v>44904</v>
      </c>
      <c r="R382" s="1474"/>
      <c r="S382" s="1474"/>
      <c r="T382" s="1474"/>
      <c r="U382" s="1474"/>
      <c r="V382" t="s">
        <v>168</v>
      </c>
      <c r="AI382" s="1115" t="s">
        <v>482</v>
      </c>
      <c r="AJ382" s="1115"/>
    </row>
    <row r="383" spans="1:36" ht="12.9" customHeight="1">
      <c r="D383" t="s">
        <v>555</v>
      </c>
      <c r="Q383" s="1258">
        <v>45657</v>
      </c>
      <c r="R383" s="1352"/>
      <c r="S383" s="1352"/>
      <c r="T383" s="1352"/>
      <c r="U383" s="1352"/>
      <c r="W383" s="29" t="s">
        <v>20</v>
      </c>
      <c r="AG383" s="1130"/>
      <c r="AH383" s="1130"/>
      <c r="AI383" s="1130"/>
      <c r="AJ383" s="1130"/>
    </row>
    <row r="384" spans="1:36" ht="12.9" customHeight="1">
      <c r="D384" t="s">
        <v>274</v>
      </c>
      <c r="Q384" s="1114">
        <v>2700000</v>
      </c>
      <c r="R384" s="1114"/>
      <c r="S384" s="1114"/>
      <c r="T384" s="1114"/>
      <c r="U384" s="1114"/>
      <c r="V384" s="41" t="s">
        <v>1966</v>
      </c>
      <c r="AG384" s="1276">
        <v>45657</v>
      </c>
      <c r="AH384" s="1276"/>
      <c r="AI384" s="1276"/>
      <c r="AJ384" s="1276"/>
    </row>
    <row r="385" spans="4:36" ht="12.9" customHeight="1">
      <c r="D385" t="s">
        <v>375</v>
      </c>
      <c r="I385" s="1146" t="s">
        <v>2402</v>
      </c>
      <c r="J385" s="1146"/>
      <c r="K385" s="1146"/>
      <c r="L385" s="1146"/>
      <c r="M385" s="1146"/>
      <c r="N385" s="1146"/>
      <c r="Q385" s="41" t="s">
        <v>818</v>
      </c>
      <c r="S385" s="1147"/>
      <c r="T385" s="1147"/>
      <c r="U385" s="1147"/>
      <c r="V385" t="s">
        <v>19</v>
      </c>
      <c r="AI385" s="1115" t="s">
        <v>482</v>
      </c>
      <c r="AJ385" s="1115"/>
    </row>
    <row r="386" spans="4:36" ht="12.9" customHeight="1">
      <c r="D386" t="s">
        <v>169</v>
      </c>
      <c r="Q386" s="1173"/>
      <c r="R386" s="1173"/>
      <c r="S386" s="1173"/>
      <c r="T386" s="1173"/>
      <c r="U386" s="1173"/>
      <c r="V386" t="s">
        <v>170</v>
      </c>
      <c r="AG386" s="1130"/>
      <c r="AH386" s="1130"/>
      <c r="AI386" s="1130"/>
      <c r="AJ386" s="1130"/>
    </row>
    <row r="387" spans="4:36" ht="12.9" customHeight="1">
      <c r="D387" t="s">
        <v>25</v>
      </c>
      <c r="Q387" s="1416"/>
      <c r="R387" s="1416"/>
      <c r="S387" s="1416"/>
      <c r="T387" s="1416"/>
      <c r="U387" s="1416"/>
      <c r="V387" t="s">
        <v>1682</v>
      </c>
      <c r="AG387" s="1130"/>
      <c r="AH387" s="1130"/>
      <c r="AI387" s="1130"/>
      <c r="AJ387" s="1130"/>
    </row>
    <row r="388" spans="4:36" ht="12.9" customHeight="1">
      <c r="D388" t="s">
        <v>1967</v>
      </c>
      <c r="AG388" s="1130"/>
      <c r="AH388" s="1130"/>
      <c r="AI388" s="1130"/>
      <c r="AJ388" s="1130"/>
    </row>
    <row r="389" spans="4:36" ht="12.9" customHeight="1">
      <c r="AG389" s="831"/>
      <c r="AH389" s="831"/>
      <c r="AI389" s="831"/>
      <c r="AJ389" s="831"/>
    </row>
    <row r="390" spans="4:36" ht="12.9" customHeight="1">
      <c r="D390" s="41" t="s">
        <v>2206</v>
      </c>
      <c r="AG390" s="831"/>
      <c r="AH390" s="831"/>
      <c r="AI390" s="1115" t="s">
        <v>482</v>
      </c>
      <c r="AJ390" s="1115"/>
    </row>
    <row r="391" spans="4:36" ht="12.9" customHeight="1">
      <c r="D391" s="41" t="s">
        <v>1968</v>
      </c>
      <c r="T391" s="1128"/>
      <c r="U391" s="1128"/>
      <c r="V391" s="1128"/>
      <c r="W391" s="1128"/>
      <c r="X391" s="1128"/>
      <c r="Y391" s="1128"/>
      <c r="Z391" s="1128"/>
      <c r="AA391" s="1128"/>
      <c r="AB391" s="1128"/>
      <c r="AC391" s="1128"/>
      <c r="AD391" s="1128"/>
      <c r="AE391" s="1128"/>
      <c r="AF391" s="1128"/>
      <c r="AG391" s="1128"/>
      <c r="AH391" s="1128"/>
      <c r="AI391" s="1128"/>
      <c r="AJ391" s="1128"/>
    </row>
    <row r="392" spans="4:36" ht="12.9" customHeight="1">
      <c r="D392" s="41" t="s">
        <v>1969</v>
      </c>
      <c r="T392" s="1128"/>
      <c r="U392" s="1128"/>
      <c r="V392" s="1128"/>
      <c r="W392" s="1128"/>
      <c r="X392" s="1128"/>
      <c r="Y392" s="1128"/>
      <c r="Z392" s="1128"/>
      <c r="AA392" s="1128"/>
      <c r="AB392" s="1128"/>
      <c r="AC392" s="1128"/>
      <c r="AD392" s="1128"/>
      <c r="AE392" s="1128"/>
      <c r="AF392" s="1128"/>
      <c r="AG392" s="1128"/>
      <c r="AH392" s="1128"/>
      <c r="AI392" s="1128"/>
      <c r="AJ392" s="1128"/>
    </row>
    <row r="393" spans="4:36" ht="12.9" customHeight="1">
      <c r="AG393" s="831"/>
      <c r="AH393" s="831"/>
      <c r="AI393" s="831"/>
      <c r="AJ393" s="831"/>
    </row>
    <row r="394" spans="4:36" ht="12.9" customHeight="1">
      <c r="D394" s="41" t="s">
        <v>1970</v>
      </c>
      <c r="S394" s="1128" t="s">
        <v>482</v>
      </c>
      <c r="T394" s="1128"/>
      <c r="U394" s="1128"/>
      <c r="V394" t="s">
        <v>1971</v>
      </c>
      <c r="AG394" s="1473"/>
      <c r="AH394" s="1473"/>
      <c r="AI394" s="1473"/>
      <c r="AJ394" s="1473"/>
    </row>
    <row r="395" spans="4:36" ht="12.9" customHeight="1">
      <c r="D395" s="41" t="s">
        <v>1972</v>
      </c>
      <c r="S395" s="1128" t="s">
        <v>124</v>
      </c>
      <c r="T395" s="1128"/>
      <c r="U395" s="1128"/>
      <c r="V395" t="s">
        <v>1973</v>
      </c>
      <c r="AE395" s="1129"/>
      <c r="AF395" s="1129"/>
      <c r="AG395" s="1129"/>
      <c r="AH395" s="1129"/>
      <c r="AI395" s="1129"/>
      <c r="AJ395" s="1129"/>
    </row>
    <row r="396" spans="4:36" ht="12.9" customHeight="1">
      <c r="D396" s="41" t="s">
        <v>1974</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2.9" customHeight="1">
      <c r="D397" s="41" t="s">
        <v>1975</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2.9" customHeight="1">
      <c r="D398" s="41" t="s">
        <v>1976</v>
      </c>
      <c r="E398" s="813"/>
      <c r="F398" s="813"/>
      <c r="G398" s="813"/>
      <c r="H398" s="813"/>
      <c r="I398" s="813"/>
      <c r="J398" s="813"/>
      <c r="K398" s="813"/>
      <c r="L398" s="813"/>
      <c r="M398" s="813"/>
      <c r="N398" s="813"/>
      <c r="O398" s="813"/>
      <c r="P398" s="813"/>
      <c r="Q398" s="813"/>
      <c r="R398" s="813"/>
      <c r="S398" s="1475" t="s">
        <v>1977</v>
      </c>
      <c r="T398" s="1475"/>
      <c r="U398" s="1475"/>
      <c r="V398" s="1475"/>
      <c r="W398" s="1475"/>
      <c r="X398" s="1475"/>
      <c r="Y398" s="1475"/>
      <c r="Z398" s="1475"/>
      <c r="AA398" s="1475"/>
      <c r="AB398" s="1475"/>
      <c r="AC398" s="1475"/>
      <c r="AD398" s="1475"/>
      <c r="AE398" s="1475"/>
      <c r="AF398" s="1475"/>
      <c r="AG398" s="1475"/>
      <c r="AH398" s="1475"/>
      <c r="AI398" s="1475"/>
      <c r="AJ398" s="1475"/>
    </row>
    <row r="399" spans="4:36" ht="12.9" customHeight="1">
      <c r="D399" s="975" t="s">
        <v>1978</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1"/>
      <c r="AH401" s="831"/>
      <c r="AI401" s="831"/>
      <c r="AJ401" s="831"/>
    </row>
    <row r="402" spans="1:36" ht="12.9" customHeight="1">
      <c r="A402" s="3" t="s">
        <v>122</v>
      </c>
      <c r="B402" s="3"/>
      <c r="C402" s="3" t="s">
        <v>899</v>
      </c>
    </row>
    <row r="403" spans="1:36" ht="12.9" customHeight="1">
      <c r="D403" s="3" t="s">
        <v>1735</v>
      </c>
      <c r="I403" s="1314" t="s">
        <v>2403</v>
      </c>
      <c r="J403" s="1314"/>
      <c r="K403" s="1314"/>
      <c r="L403" s="1314"/>
      <c r="M403" s="1314"/>
      <c r="N403" s="1314"/>
      <c r="O403" s="1314"/>
      <c r="P403" s="1314"/>
      <c r="Q403" s="1314"/>
      <c r="R403" s="1314"/>
      <c r="S403" s="1314"/>
      <c r="T403" s="1314"/>
      <c r="U403" s="1314"/>
      <c r="V403" s="1314"/>
      <c r="W403" s="1314"/>
      <c r="X403" s="1314"/>
      <c r="Y403" s="1314"/>
      <c r="Z403" s="1314"/>
      <c r="AA403" s="1314"/>
      <c r="AB403" s="1314"/>
      <c r="AC403" s="1314"/>
      <c r="AD403" s="1314"/>
    </row>
    <row r="404" spans="1:36" ht="12.9" customHeight="1">
      <c r="E404" t="s">
        <v>855</v>
      </c>
      <c r="R404" s="1115" t="s">
        <v>124</v>
      </c>
      <c r="S404" s="1115"/>
      <c r="T404" t="s">
        <v>291</v>
      </c>
      <c r="AD404" s="1113">
        <v>0</v>
      </c>
      <c r="AE404" s="1113"/>
    </row>
    <row r="405" spans="1:36" ht="12.9" customHeight="1">
      <c r="E405" t="s">
        <v>856</v>
      </c>
      <c r="R405" s="1115" t="s">
        <v>108</v>
      </c>
      <c r="S405" s="1115"/>
      <c r="T405" t="s">
        <v>291</v>
      </c>
      <c r="AD405" s="1113">
        <v>2</v>
      </c>
      <c r="AE405" s="1113"/>
    </row>
    <row r="406" spans="1:36" ht="12.9" customHeight="1">
      <c r="E406" t="s">
        <v>857</v>
      </c>
      <c r="S406" s="1115" t="s">
        <v>124</v>
      </c>
      <c r="T406" s="1115"/>
    </row>
    <row r="407" spans="1:36" ht="12.9" customHeight="1">
      <c r="E407" t="s">
        <v>283</v>
      </c>
      <c r="H407" s="1567" t="s">
        <v>562</v>
      </c>
      <c r="I407" s="1567"/>
      <c r="J407" s="1567"/>
      <c r="K407" s="1567"/>
      <c r="L407" s="1567"/>
      <c r="M407" s="1567"/>
      <c r="N407" s="1567"/>
      <c r="O407" s="1567"/>
      <c r="P407" s="1567"/>
      <c r="Q407" s="1567"/>
      <c r="R407" s="1567"/>
      <c r="S407" s="1567"/>
      <c r="T407" s="1567"/>
      <c r="U407" s="1567"/>
      <c r="V407" s="1567"/>
      <c r="W407" s="1567"/>
      <c r="X407" s="1567"/>
      <c r="Y407" s="1567"/>
      <c r="Z407" s="1567"/>
      <c r="AA407" s="1567"/>
      <c r="AB407" s="1567"/>
      <c r="AC407" s="1567"/>
      <c r="AD407" s="1567"/>
      <c r="AE407" s="1567"/>
      <c r="AF407" s="1567"/>
      <c r="AG407" s="1567"/>
      <c r="AH407" s="1567"/>
      <c r="AI407" s="1567"/>
      <c r="AJ407" s="1567"/>
    </row>
    <row r="408" spans="1:36" ht="12.9" customHeight="1">
      <c r="H408" s="1568"/>
      <c r="I408" s="1568"/>
      <c r="J408" s="1568"/>
      <c r="K408" s="1568"/>
      <c r="L408" s="1568"/>
      <c r="M408" s="1568"/>
      <c r="N408" s="1568"/>
      <c r="O408" s="1568"/>
      <c r="P408" s="1568"/>
      <c r="Q408" s="1568"/>
      <c r="R408" s="1568"/>
      <c r="S408" s="1568"/>
      <c r="T408" s="1568"/>
      <c r="U408" s="1568"/>
      <c r="V408" s="1568"/>
      <c r="W408" s="1568"/>
      <c r="X408" s="1568"/>
      <c r="Y408" s="1568"/>
      <c r="Z408" s="1568"/>
      <c r="AA408" s="1568"/>
      <c r="AB408" s="1568"/>
      <c r="AC408" s="1568"/>
      <c r="AD408" s="1568"/>
      <c r="AE408" s="1568"/>
      <c r="AF408" s="1568"/>
      <c r="AG408" s="1568"/>
      <c r="AH408" s="1568"/>
      <c r="AI408" s="1568"/>
      <c r="AJ408" s="1568"/>
    </row>
    <row r="409" spans="1:36" ht="12.9" customHeight="1"/>
    <row r="410" spans="1:36" ht="12.9" customHeight="1">
      <c r="A410" s="3" t="s">
        <v>123</v>
      </c>
      <c r="B410" s="3"/>
      <c r="C410" s="3"/>
      <c r="D410" s="3" t="s">
        <v>902</v>
      </c>
      <c r="AE410" s="5"/>
      <c r="AF410" s="3" t="s">
        <v>1214</v>
      </c>
    </row>
    <row r="411" spans="1:36" ht="12.9" customHeight="1">
      <c r="E411" s="1430"/>
      <c r="F411" s="1430"/>
      <c r="G411" s="1430"/>
      <c r="H411" s="18" t="s">
        <v>903</v>
      </c>
      <c r="I411" s="1430"/>
      <c r="J411" s="1430"/>
      <c r="K411" s="1430"/>
      <c r="L411" t="s">
        <v>904</v>
      </c>
      <c r="N411" s="34" t="s">
        <v>851</v>
      </c>
      <c r="P411" s="1432">
        <v>7.55</v>
      </c>
      <c r="Q411" s="1432"/>
      <c r="R411" s="1432"/>
      <c r="S411" t="s">
        <v>905</v>
      </c>
      <c r="W411" s="1433">
        <f>IF(E411&gt;0,(E411*I411),(P411*43560))</f>
        <v>328878</v>
      </c>
      <c r="X411" s="1433"/>
      <c r="Y411" s="1433"/>
      <c r="Z411" t="s">
        <v>906</v>
      </c>
      <c r="AF411" s="1490" cm="1">
        <f t="array" ref="AF411">_xlfn.IFS(P411&gt;0,(AG430/P411),W411&gt;0,(AG430/(W411/43560)),TRUE,0)</f>
        <v>9.5364238410596034</v>
      </c>
      <c r="AG411" s="1490"/>
      <c r="AH411" s="1490"/>
    </row>
    <row r="412" spans="1:36" ht="12.9" customHeight="1">
      <c r="E412" t="s">
        <v>203</v>
      </c>
    </row>
    <row r="413" spans="1:36" ht="12.9"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2.9" customHeight="1">
      <c r="E414" s="270" t="s">
        <v>1979</v>
      </c>
      <c r="F414" s="29"/>
      <c r="G414" s="29"/>
      <c r="H414" s="29"/>
      <c r="I414" s="1468">
        <v>7.55</v>
      </c>
      <c r="J414" s="1468"/>
      <c r="K414" s="1468"/>
      <c r="L414" s="29"/>
      <c r="M414" s="270"/>
      <c r="N414" s="29"/>
      <c r="O414" s="29"/>
      <c r="P414" s="1489">
        <f>(CQ628+CS633+CQ647)/I414</f>
        <v>18.14569536423841</v>
      </c>
      <c r="Q414" s="1489"/>
      <c r="R414" s="1489"/>
      <c r="S414" s="270" t="s">
        <v>1980</v>
      </c>
      <c r="T414" s="29"/>
      <c r="U414" s="29"/>
      <c r="V414" s="29"/>
      <c r="W414" s="29"/>
      <c r="X414" s="29"/>
      <c r="Y414" s="878"/>
      <c r="Z414" s="878"/>
      <c r="AA414" s="878"/>
      <c r="AB414" s="878"/>
      <c r="AC414" s="878"/>
      <c r="AD414" s="878"/>
      <c r="AE414" s="878"/>
      <c r="AF414" s="878"/>
      <c r="AG414" s="878"/>
      <c r="AH414" s="878"/>
      <c r="AI414" s="878"/>
      <c r="AJ414" s="878"/>
    </row>
    <row r="415" spans="1:36" ht="12.9" customHeight="1"/>
    <row r="416" spans="1:36" ht="12.9" customHeight="1">
      <c r="A416" s="3" t="s">
        <v>125</v>
      </c>
      <c r="B416" s="3"/>
      <c r="C416" s="3"/>
      <c r="D416" s="3" t="s">
        <v>908</v>
      </c>
    </row>
    <row r="417" spans="1:36" ht="12.9" customHeight="1">
      <c r="E417" t="s">
        <v>451</v>
      </c>
      <c r="P417" s="1115">
        <v>7</v>
      </c>
      <c r="Q417" s="1115"/>
      <c r="S417" t="s">
        <v>134</v>
      </c>
      <c r="AE417" s="1115">
        <v>6</v>
      </c>
      <c r="AF417" s="1115"/>
    </row>
    <row r="418" spans="1:36" ht="12.9" customHeight="1">
      <c r="E418" t="s">
        <v>135</v>
      </c>
      <c r="P418" s="1115">
        <v>1</v>
      </c>
      <c r="Q418" s="1115"/>
      <c r="S418" t="s">
        <v>726</v>
      </c>
      <c r="AE418" s="1115" t="s">
        <v>124</v>
      </c>
      <c r="AF418" s="1115"/>
    </row>
    <row r="419" spans="1:36" ht="12.9" customHeight="1">
      <c r="F419" s="36" t="s">
        <v>221</v>
      </c>
    </row>
    <row r="420" spans="1:36" ht="12.9" customHeight="1">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2.9"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2.9" customHeight="1">
      <c r="E422" t="s">
        <v>858</v>
      </c>
      <c r="P422" s="1"/>
      <c r="Q422" s="1115" t="s">
        <v>108</v>
      </c>
      <c r="R422" s="1115"/>
      <c r="AE422" s="1"/>
      <c r="AF422" s="1"/>
    </row>
    <row r="423" spans="1:36" ht="12.9" customHeight="1">
      <c r="F423" t="s">
        <v>859</v>
      </c>
      <c r="P423" s="1"/>
      <c r="Q423" s="1"/>
      <c r="AE423" s="1115" t="s">
        <v>124</v>
      </c>
      <c r="AF423" s="1341"/>
    </row>
    <row r="424" spans="1:36" ht="12.9" customHeight="1"/>
    <row r="425" spans="1:36" ht="12.9" customHeight="1">
      <c r="A425" s="3"/>
      <c r="B425" s="3"/>
      <c r="C425" s="3"/>
      <c r="E425" s="5" t="s">
        <v>80</v>
      </c>
      <c r="Z425" s="1115" t="s">
        <v>482</v>
      </c>
      <c r="AA425" s="1115"/>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5" t="s">
        <v>124</v>
      </c>
      <c r="AA427" s="1115"/>
    </row>
    <row r="428" spans="1:36" ht="12.9" customHeight="1"/>
    <row r="429" spans="1:36" ht="12.9" customHeight="1">
      <c r="A429" s="3" t="s">
        <v>367</v>
      </c>
      <c r="B429" s="3"/>
      <c r="C429" s="3"/>
      <c r="D429" s="3" t="s">
        <v>172</v>
      </c>
      <c r="AF429" s="54"/>
    </row>
    <row r="430" spans="1:36" ht="12.9"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71"/>
      <c r="AG430" s="1466">
        <v>72</v>
      </c>
      <c r="AH430" s="1466"/>
      <c r="AI430" s="1466"/>
      <c r="AJ430" s="1466"/>
    </row>
    <row r="431" spans="1:36" ht="12.9" customHeight="1">
      <c r="D431" s="1431" t="s">
        <v>2272</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2.9"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6">
        <v>71</v>
      </c>
      <c r="AH432" s="1466"/>
      <c r="AI432" s="1466"/>
      <c r="AJ432" s="1466"/>
    </row>
    <row r="433" spans="4:36" ht="12.9"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6">
        <v>71</v>
      </c>
      <c r="AH433" s="1466"/>
      <c r="AI433" s="1466"/>
      <c r="AJ433" s="1466"/>
    </row>
    <row r="434" spans="4:36" ht="12.9"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2.9"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5">
        <v>61004</v>
      </c>
      <c r="AH435" s="1425"/>
      <c r="AI435" s="1425"/>
      <c r="AJ435" s="1425"/>
    </row>
    <row r="436" spans="4:36" ht="12.9"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5">
        <v>61004</v>
      </c>
      <c r="AH436" s="1425"/>
      <c r="AI436" s="1425"/>
      <c r="AJ436" s="1425"/>
    </row>
    <row r="437" spans="4:36" ht="12.9"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2.9"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2.9" customHeight="1">
      <c r="D439" s="1431" t="s">
        <v>2111</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71"/>
      <c r="AG439" s="1425">
        <v>2988</v>
      </c>
      <c r="AH439" s="1425"/>
      <c r="AI439" s="1425"/>
      <c r="AJ439" s="1425"/>
    </row>
    <row r="440" spans="4:36" ht="12.9"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5">
        <v>0</v>
      </c>
      <c r="AH440" s="1425"/>
      <c r="AI440" s="1425"/>
      <c r="AJ440" s="1425"/>
    </row>
    <row r="441" spans="4:36" ht="12.9" customHeight="1">
      <c r="D441" s="1431" t="s">
        <v>1736</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5">
        <v>3856</v>
      </c>
      <c r="AH441" s="1425"/>
      <c r="AI441" s="1425"/>
      <c r="AJ441" s="1425"/>
    </row>
    <row r="442" spans="4:36" ht="12.9"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5">
        <v>0</v>
      </c>
      <c r="AH442" s="1425"/>
      <c r="AI442" s="1425"/>
      <c r="AJ442" s="1425"/>
    </row>
    <row r="443" spans="4:36" ht="12.9"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7">
        <f>AG435+AG439+AG441+AG442</f>
        <v>67848</v>
      </c>
      <c r="AH443" s="1467"/>
      <c r="AI443" s="1467"/>
      <c r="AJ443" s="1467"/>
    </row>
    <row r="444" spans="4:36" ht="12.9" customHeight="1">
      <c r="D444" s="1469" t="s">
        <v>1737</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2.9"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2.9" customHeight="1">
      <c r="D446" s="1462"/>
      <c r="E446" s="1462"/>
      <c r="F446" s="1462"/>
      <c r="G446" s="1462"/>
      <c r="H446" s="1462"/>
      <c r="I446" s="1462"/>
      <c r="J446" s="1462"/>
      <c r="K446" s="1462"/>
      <c r="L446" s="1462"/>
      <c r="M446" s="1462"/>
      <c r="N446" s="1462"/>
      <c r="O446" s="1462"/>
      <c r="P446" s="1462"/>
      <c r="Q446" s="1462"/>
      <c r="R446" s="1462"/>
      <c r="S446" s="1462"/>
      <c r="T446" s="1462"/>
      <c r="U446" s="1462"/>
      <c r="V446" s="1462"/>
      <c r="W446" s="1462"/>
      <c r="X446" s="1462"/>
      <c r="Y446" s="1462"/>
      <c r="Z446" s="1462"/>
      <c r="AA446" s="1462"/>
      <c r="AB446" s="1462"/>
      <c r="AC446" s="1462"/>
      <c r="AD446" s="1462"/>
      <c r="AE446" s="1462"/>
      <c r="AF446" s="1462"/>
      <c r="AG446" s="1462"/>
      <c r="AH446" s="1462"/>
      <c r="AI446" s="1462"/>
      <c r="AJ446" s="1462"/>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601231.70166666666</v>
      </c>
      <c r="AD447" s="1156"/>
      <c r="AE447" s="1156"/>
      <c r="AF447" s="1156"/>
      <c r="AG447" s="1476"/>
      <c r="AH447" s="1476"/>
      <c r="AI447" s="1476"/>
      <c r="AJ447" s="1476"/>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601231.70166666666</v>
      </c>
      <c r="AD448" s="1156"/>
      <c r="AE448" s="1156"/>
      <c r="AF448" s="1156"/>
      <c r="AG448" s="1476"/>
      <c r="AH448" s="1476"/>
      <c r="AI448" s="1476"/>
      <c r="AJ448" s="1476"/>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530956.23444444442</v>
      </c>
      <c r="AD449" s="1156"/>
      <c r="AE449" s="1156"/>
      <c r="AF449" s="1156"/>
      <c r="AG449" s="362"/>
      <c r="AH449" s="362"/>
      <c r="AI449" s="362"/>
      <c r="AJ449" s="362"/>
    </row>
    <row r="450" spans="1:38" ht="12.9" customHeight="1">
      <c r="D450" s="373"/>
      <c r="E450" s="307"/>
      <c r="F450" s="1569" t="str">
        <f>IF(AG430=0,"",IF(AC447&gt;650000,"Please provide a justification of cost per unit in Tab 12 for all projects with per unit costs of greater than $650,000.",""))</f>
        <v/>
      </c>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293"/>
      <c r="AD450" s="293"/>
      <c r="AE450" s="293"/>
      <c r="AF450" s="293"/>
      <c r="AG450" s="362"/>
      <c r="AH450" s="362"/>
      <c r="AI450" s="362"/>
      <c r="AJ450" s="362"/>
    </row>
    <row r="451" spans="1:38" ht="12.9" customHeight="1">
      <c r="D451" s="373"/>
      <c r="E451" s="307"/>
      <c r="F451" s="1569"/>
      <c r="G451" s="1569"/>
      <c r="H451" s="1569"/>
      <c r="I451" s="1569"/>
      <c r="J451" s="1569"/>
      <c r="K451" s="1569"/>
      <c r="L451" s="1569"/>
      <c r="M451" s="1569"/>
      <c r="N451" s="1569"/>
      <c r="O451" s="1569"/>
      <c r="P451" s="1569"/>
      <c r="Q451" s="1569"/>
      <c r="R451" s="1569"/>
      <c r="S451" s="1569"/>
      <c r="T451" s="1569"/>
      <c r="U451" s="1569"/>
      <c r="V451" s="1569"/>
      <c r="W451" s="1569"/>
      <c r="X451" s="1569"/>
      <c r="Y451" s="1569"/>
      <c r="Z451" s="1569"/>
      <c r="AA451" s="1569"/>
      <c r="AB451" s="1569"/>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17" t="s">
        <v>2103</v>
      </c>
      <c r="E460" s="1118"/>
      <c r="F460" s="1118"/>
      <c r="G460" s="1118"/>
      <c r="H460" s="1118"/>
      <c r="I460" s="1118"/>
      <c r="J460" s="1118"/>
      <c r="K460" s="1118"/>
      <c r="L460" s="1118"/>
      <c r="M460" s="1118"/>
      <c r="N460" s="1118"/>
      <c r="O460" s="1118"/>
      <c r="P460" s="1118"/>
      <c r="Q460" s="1118"/>
      <c r="R460" s="1118"/>
      <c r="S460" s="1118"/>
      <c r="T460" s="1118"/>
      <c r="U460" s="1118"/>
      <c r="V460" s="1119"/>
      <c r="W460" s="1123">
        <v>0</v>
      </c>
      <c r="X460" s="1124"/>
      <c r="Y460" s="1125"/>
      <c r="Z460" s="310"/>
      <c r="AA460" s="310"/>
      <c r="AB460" s="310"/>
      <c r="AC460" s="310"/>
      <c r="AD460" s="310"/>
      <c r="AE460" s="310"/>
      <c r="AF460" s="310"/>
      <c r="AG460" s="310"/>
      <c r="AH460" s="310"/>
      <c r="AI460" s="310"/>
      <c r="AJ460" s="41"/>
      <c r="AK460" s="41"/>
      <c r="AL460" s="41"/>
    </row>
    <row r="461" spans="1:38" ht="12.9"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2.9"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2.9"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2.9" customHeight="1">
      <c r="A464" s="41"/>
      <c r="B464" s="41"/>
      <c r="C464" s="41"/>
      <c r="D464" s="1483"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2.9"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2.9" customHeight="1">
      <c r="A466" s="557"/>
      <c r="B466" s="557"/>
      <c r="C466" s="557"/>
      <c r="D466" s="1483" t="s">
        <v>1308</v>
      </c>
      <c r="E466" s="1487"/>
      <c r="F466" s="1487"/>
      <c r="G466" s="1487"/>
      <c r="H466" s="1487"/>
      <c r="I466" s="1487"/>
      <c r="J466" s="1487"/>
      <c r="K466" s="1487"/>
      <c r="L466" s="1487"/>
      <c r="M466" s="1487"/>
      <c r="N466" s="1487"/>
      <c r="O466" s="1487"/>
      <c r="P466" s="1487"/>
      <c r="Q466" s="1487"/>
      <c r="R466" s="1487"/>
      <c r="S466" s="1487"/>
      <c r="T466" s="1487"/>
      <c r="U466" s="1487"/>
      <c r="V466" s="1488"/>
      <c r="W466" s="1463">
        <v>0</v>
      </c>
      <c r="X466" s="1464"/>
      <c r="Y466" s="1465"/>
      <c r="Z466" s="558"/>
      <c r="AA466" s="558"/>
      <c r="AB466" s="558"/>
      <c r="AC466" s="558"/>
      <c r="AD466" s="559"/>
      <c r="AE466" s="559"/>
      <c r="AF466" s="559"/>
      <c r="AG466" s="559"/>
      <c r="AH466" s="559"/>
      <c r="AI466" s="559"/>
      <c r="AJ466" s="362"/>
    </row>
    <row r="467" spans="1:97" ht="12.9" customHeight="1">
      <c r="A467" s="557"/>
      <c r="B467" s="557"/>
      <c r="C467" s="557"/>
      <c r="D467" s="1117" t="s">
        <v>2281</v>
      </c>
      <c r="E467" s="1118"/>
      <c r="F467" s="1118"/>
      <c r="G467" s="1118"/>
      <c r="H467" s="1118"/>
      <c r="I467" s="1118"/>
      <c r="J467" s="1118"/>
      <c r="K467" s="1118"/>
      <c r="L467" s="1118"/>
      <c r="M467" s="1118"/>
      <c r="N467" s="1118"/>
      <c r="O467" s="1118"/>
      <c r="P467" s="1118"/>
      <c r="Q467" s="1118"/>
      <c r="R467" s="1118"/>
      <c r="S467" s="1118"/>
      <c r="T467" s="1118"/>
      <c r="U467" s="1118"/>
      <c r="V467" s="1119"/>
      <c r="W467" s="1463">
        <v>0</v>
      </c>
      <c r="X467" s="1464"/>
      <c r="Y467" s="1465"/>
      <c r="Z467" s="558"/>
      <c r="AA467" s="558"/>
      <c r="AB467" s="558"/>
      <c r="AC467" s="558"/>
      <c r="AD467" s="559"/>
      <c r="AE467" s="559"/>
      <c r="AF467" s="559"/>
      <c r="AG467" s="559"/>
      <c r="AH467" s="559"/>
      <c r="AI467" s="559"/>
      <c r="AJ467" s="362"/>
    </row>
    <row r="468" spans="1:97" ht="12.9" customHeight="1">
      <c r="A468" s="41"/>
      <c r="B468" s="41"/>
      <c r="C468" s="41"/>
      <c r="D468" s="1117" t="s">
        <v>2216</v>
      </c>
      <c r="E468" s="1487"/>
      <c r="F468" s="1487"/>
      <c r="G468" s="1487"/>
      <c r="H468" s="1487"/>
      <c r="I468" s="1487"/>
      <c r="J468" s="1487"/>
      <c r="K468" s="1487"/>
      <c r="L468" s="1487"/>
      <c r="M468" s="1487"/>
      <c r="N468" s="1487"/>
      <c r="O468" s="1487"/>
      <c r="P468" s="1487"/>
      <c r="Q468" s="1487"/>
      <c r="R468" s="1487"/>
      <c r="S468" s="1487"/>
      <c r="T468" s="1487"/>
      <c r="U468" s="1487"/>
      <c r="V468" s="1488"/>
      <c r="W468" s="1463">
        <v>0</v>
      </c>
      <c r="X468" s="1464"/>
      <c r="Y468" s="146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1" t="s">
        <v>663</v>
      </c>
      <c r="H469" s="1152"/>
      <c r="I469" s="1152"/>
      <c r="J469" s="1152"/>
      <c r="K469" s="1152"/>
      <c r="L469" s="1152"/>
      <c r="M469" s="1152"/>
      <c r="N469" s="1152"/>
      <c r="O469" s="1152"/>
      <c r="P469" s="1152"/>
      <c r="Q469" s="1152"/>
      <c r="R469" s="1152"/>
      <c r="S469" s="1152"/>
      <c r="T469" s="1152"/>
      <c r="U469" s="1152"/>
      <c r="V469" s="1153"/>
      <c r="W469" s="1123">
        <v>71</v>
      </c>
      <c r="X469" s="1124"/>
      <c r="Y469" s="1125"/>
      <c r="Z469" s="310"/>
      <c r="AA469" s="310"/>
      <c r="AB469" s="310"/>
      <c r="AC469" s="310"/>
      <c r="AD469" s="310"/>
      <c r="AE469" s="310"/>
      <c r="AF469" s="310"/>
      <c r="AG469" s="310"/>
      <c r="AH469" s="310"/>
      <c r="AI469" s="310"/>
      <c r="AJ469" s="41"/>
      <c r="AK469" s="41"/>
      <c r="AL469" s="41"/>
    </row>
    <row r="470" spans="1:97" ht="12.9" customHeight="1">
      <c r="A470" s="41"/>
      <c r="B470" s="41"/>
      <c r="C470" s="41"/>
      <c r="D470" s="948" t="s">
        <v>1309</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 customHeight="1">
      <c r="A471" s="41"/>
      <c r="B471" s="41"/>
      <c r="C471" s="41"/>
      <c r="D471" s="1557"/>
      <c r="E471" s="1557"/>
      <c r="F471" s="1557"/>
      <c r="G471" s="1557"/>
      <c r="H471" s="1557"/>
      <c r="I471" s="1557"/>
      <c r="J471" s="1557"/>
      <c r="K471" s="1557"/>
      <c r="L471" s="1557"/>
      <c r="M471" s="1557"/>
      <c r="N471" s="1557"/>
      <c r="O471" s="1557"/>
      <c r="P471" s="1557"/>
      <c r="Q471" s="1557"/>
      <c r="R471" s="1557"/>
      <c r="S471" s="1557"/>
      <c r="T471" s="1557"/>
      <c r="U471" s="1557"/>
      <c r="V471" s="1557"/>
      <c r="W471" s="1557"/>
      <c r="X471" s="1557"/>
      <c r="Y471" s="155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8"/>
      <c r="E472" s="1558"/>
      <c r="F472" s="1558"/>
      <c r="G472" s="1558"/>
      <c r="H472" s="1558"/>
      <c r="I472" s="1558"/>
      <c r="J472" s="1558"/>
      <c r="K472" s="1558"/>
      <c r="L472" s="1558"/>
      <c r="M472" s="1558"/>
      <c r="N472" s="1558"/>
      <c r="O472" s="1558"/>
      <c r="P472" s="1558"/>
      <c r="Q472" s="1558"/>
      <c r="R472" s="1558"/>
      <c r="S472" s="1558"/>
      <c r="T472" s="1558"/>
      <c r="U472" s="1558"/>
      <c r="V472" s="1558"/>
      <c r="W472" s="1558"/>
      <c r="X472" s="1558"/>
      <c r="Y472" s="155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8"/>
      <c r="E473" s="1558"/>
      <c r="F473" s="1558"/>
      <c r="G473" s="1558"/>
      <c r="H473" s="1558"/>
      <c r="I473" s="1558"/>
      <c r="J473" s="1558"/>
      <c r="K473" s="1558"/>
      <c r="L473" s="1558"/>
      <c r="M473" s="1558"/>
      <c r="N473" s="1558"/>
      <c r="O473" s="1558"/>
      <c r="P473" s="1558"/>
      <c r="Q473" s="1558"/>
      <c r="R473" s="1558"/>
      <c r="S473" s="1558"/>
      <c r="T473" s="1558"/>
      <c r="U473" s="1558"/>
      <c r="V473" s="1558"/>
      <c r="W473" s="1558"/>
      <c r="X473" s="1558"/>
      <c r="Y473" s="155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26" t="s">
        <v>2404</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26" t="s">
        <v>2405</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26" t="s">
        <v>2406</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7" t="s">
        <v>242</v>
      </c>
      <c r="C485" s="1478"/>
      <c r="D485" s="1478"/>
      <c r="E485" s="1478"/>
      <c r="F485" s="1478"/>
      <c r="G485" s="1478"/>
      <c r="H485" s="1478"/>
      <c r="I485" s="1478"/>
      <c r="J485" s="1478"/>
      <c r="K485" s="1478"/>
      <c r="L485" s="1478"/>
      <c r="M485" s="1478"/>
      <c r="N485" s="1478"/>
      <c r="O485" s="1478"/>
      <c r="P485" s="1479"/>
      <c r="Q485" s="1491" t="s">
        <v>482</v>
      </c>
      <c r="R485" s="1492"/>
      <c r="S485" s="1495" t="s">
        <v>53</v>
      </c>
      <c r="T485" s="1496"/>
      <c r="U485" s="1496"/>
      <c r="V485" s="1496"/>
      <c r="W485" s="1496"/>
      <c r="X485" s="1496"/>
      <c r="Y485" s="1496"/>
      <c r="Z485" s="1496"/>
      <c r="AA485" s="1496"/>
      <c r="AB485" s="1496"/>
      <c r="AC485" s="1496"/>
      <c r="AD485" s="1496"/>
      <c r="AE485" s="1496"/>
      <c r="AF485" s="1496"/>
      <c r="AG485" s="1496"/>
      <c r="AH485" s="1496"/>
      <c r="AI485" s="1496"/>
      <c r="AJ485" s="1496"/>
      <c r="AK485" s="14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0"/>
      <c r="C486" s="1481"/>
      <c r="D486" s="1481"/>
      <c r="E486" s="1481"/>
      <c r="F486" s="1481"/>
      <c r="G486" s="1481"/>
      <c r="H486" s="1481"/>
      <c r="I486" s="1481"/>
      <c r="J486" s="1481"/>
      <c r="K486" s="1481"/>
      <c r="L486" s="1481"/>
      <c r="M486" s="1481"/>
      <c r="N486" s="1481"/>
      <c r="O486" s="1481"/>
      <c r="P486" s="1482"/>
      <c r="Q486" s="1493"/>
      <c r="R486" s="1494"/>
      <c r="S486" s="1498"/>
      <c r="T486" s="1499"/>
      <c r="U486" s="1499"/>
      <c r="V486" s="1499"/>
      <c r="W486" s="1499"/>
      <c r="X486" s="1499"/>
      <c r="Y486" s="1499"/>
      <c r="Z486" s="1499"/>
      <c r="AA486" s="1499"/>
      <c r="AB486" s="1499"/>
      <c r="AC486" s="1499"/>
      <c r="AD486" s="1499"/>
      <c r="AE486" s="1499"/>
      <c r="AF486" s="1499"/>
      <c r="AG486" s="1499"/>
      <c r="AH486" s="1499"/>
      <c r="AI486" s="1499"/>
      <c r="AJ486" s="1499"/>
      <c r="AK486" s="15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2" t="s">
        <v>2211</v>
      </c>
      <c r="C487" s="814"/>
      <c r="D487" s="814"/>
      <c r="E487" s="814"/>
      <c r="F487" s="814"/>
      <c r="G487" s="814"/>
      <c r="H487" s="814"/>
      <c r="I487" s="814"/>
      <c r="J487" s="814"/>
      <c r="K487" s="814"/>
      <c r="L487" s="814"/>
      <c r="M487" s="814"/>
      <c r="N487" s="814"/>
      <c r="O487" s="814"/>
      <c r="P487" s="814"/>
      <c r="Q487" s="1501" t="s">
        <v>482</v>
      </c>
      <c r="R487" s="1502"/>
      <c r="S487" s="1502"/>
      <c r="T487" s="1502"/>
      <c r="U487" s="1502"/>
      <c r="V487" s="1502"/>
      <c r="W487" s="1502"/>
      <c r="X487" s="1502"/>
      <c r="Y487" s="1502"/>
      <c r="Z487" s="1502"/>
      <c r="AA487" s="1502"/>
      <c r="AB487" s="1502"/>
      <c r="AC487" s="1502"/>
      <c r="AD487" s="1502"/>
      <c r="AE487" s="1502"/>
      <c r="AF487" s="1502"/>
      <c r="AG487" s="1502"/>
      <c r="AH487" s="1502"/>
      <c r="AI487" s="1502"/>
      <c r="AJ487" s="1502"/>
      <c r="AK487" s="150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26" t="s">
        <v>2407</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26">
        <v>104</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126">
        <v>106</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38"/>
      <c r="N491" s="1144"/>
      <c r="O491" s="1144"/>
      <c r="P491" s="1339"/>
      <c r="Q491" s="214" t="s">
        <v>1984</v>
      </c>
      <c r="R491" s="9"/>
      <c r="S491" s="9"/>
      <c r="T491" s="9"/>
      <c r="U491" s="9"/>
      <c r="V491" s="9"/>
      <c r="W491" s="9"/>
      <c r="X491" s="9"/>
      <c r="Y491" s="9"/>
      <c r="Z491" s="9"/>
      <c r="AA491" s="9"/>
      <c r="AB491" s="9"/>
      <c r="AC491" s="9"/>
      <c r="AD491" s="9"/>
      <c r="AE491" s="9"/>
      <c r="AF491" s="9"/>
      <c r="AG491" s="9"/>
      <c r="AH491" s="1338">
        <v>106</v>
      </c>
      <c r="AI491" s="1144"/>
      <c r="AJ491" s="1144"/>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v>12</v>
      </c>
      <c r="AD497" s="1113"/>
      <c r="AE497" s="1113"/>
      <c r="AF497" s="1113"/>
      <c r="AG497" s="18" t="s">
        <v>248</v>
      </c>
      <c r="AH497" s="1142">
        <v>2022</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v>12</v>
      </c>
      <c r="AD498" s="1113"/>
      <c r="AE498" s="1113"/>
      <c r="AF498" s="1113"/>
      <c r="AG498" s="47" t="s">
        <v>248</v>
      </c>
      <c r="AH498" s="1142">
        <v>2022</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4"/>
      <c r="C501" s="1135"/>
      <c r="D501" s="1135"/>
      <c r="E501" s="1135"/>
      <c r="F501" s="1135"/>
      <c r="G501" s="1135"/>
      <c r="H501" s="1136"/>
      <c r="I501" t="s">
        <v>676</v>
      </c>
      <c r="AC501" s="1116">
        <v>8</v>
      </c>
      <c r="AD501" s="1113"/>
      <c r="AE501" s="1113"/>
      <c r="AF501" s="1113"/>
      <c r="AG501" s="18" t="s">
        <v>248</v>
      </c>
      <c r="AH501" s="1142">
        <v>2023</v>
      </c>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4"/>
      <c r="C502" s="1135"/>
      <c r="D502" s="1135"/>
      <c r="E502" s="1135"/>
      <c r="F502" s="1135"/>
      <c r="G502" s="1135"/>
      <c r="H502" s="1136"/>
      <c r="I502" t="s">
        <v>677</v>
      </c>
      <c r="AC502" s="1116">
        <v>2</v>
      </c>
      <c r="AD502" s="1113"/>
      <c r="AE502" s="1113"/>
      <c r="AF502" s="1113"/>
      <c r="AG502" s="18" t="s">
        <v>248</v>
      </c>
      <c r="AH502" s="1142">
        <v>2025</v>
      </c>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4"/>
      <c r="C503" s="1135"/>
      <c r="D503" s="1135"/>
      <c r="E503" s="1135"/>
      <c r="F503" s="1135"/>
      <c r="G503" s="1135"/>
      <c r="H503" s="1136"/>
      <c r="I503" s="41" t="s">
        <v>678</v>
      </c>
      <c r="AC503" s="1079">
        <v>2</v>
      </c>
      <c r="AD503" s="1080"/>
      <c r="AE503" s="1080"/>
      <c r="AF503" s="1080"/>
      <c r="AG503" s="18" t="s">
        <v>248</v>
      </c>
      <c r="AH503" s="1142">
        <v>2025</v>
      </c>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9" t="s">
        <v>124</v>
      </c>
      <c r="AD504" s="1319"/>
      <c r="AE504" s="1319"/>
      <c r="AF504" s="1319"/>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4"/>
      <c r="C505" s="1135"/>
      <c r="D505" s="1135"/>
      <c r="E505" s="1135"/>
      <c r="F505" s="1135"/>
      <c r="G505" s="1135"/>
      <c r="H505" s="1136"/>
      <c r="I505" s="41" t="s">
        <v>1985</v>
      </c>
      <c r="AC505" s="1426" t="s">
        <v>108</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4"/>
      <c r="C506" s="1135"/>
      <c r="D506" s="1135"/>
      <c r="E506" s="1135"/>
      <c r="F506" s="1135"/>
      <c r="G506" s="1135"/>
      <c r="H506" s="1136"/>
      <c r="I506" t="s">
        <v>1986</v>
      </c>
      <c r="AC506" s="1079">
        <v>3</v>
      </c>
      <c r="AD506" s="1080"/>
      <c r="AE506" s="1080"/>
      <c r="AF506" s="1081"/>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4"/>
      <c r="C507" s="1135"/>
      <c r="D507" s="1135"/>
      <c r="E507" s="1135"/>
      <c r="F507" s="1135"/>
      <c r="G507" s="1135"/>
      <c r="H507" s="1136"/>
      <c r="I507" t="s">
        <v>1987</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4"/>
      <c r="C508" s="1135"/>
      <c r="D508" s="1135"/>
      <c r="E508" s="1135"/>
      <c r="F508" s="1135"/>
      <c r="G508" s="1135"/>
      <c r="H508" s="1136"/>
      <c r="I508" s="837" t="s">
        <v>1988</v>
      </c>
      <c r="J508" s="54"/>
      <c r="K508" s="54"/>
      <c r="L508" s="54"/>
      <c r="M508" s="54"/>
      <c r="N508" s="54"/>
      <c r="O508" s="54"/>
      <c r="P508" s="54"/>
      <c r="Q508" s="54"/>
      <c r="R508" s="54"/>
      <c r="S508" s="54"/>
      <c r="T508" s="54"/>
      <c r="U508" s="54"/>
      <c r="V508" s="54"/>
      <c r="W508" s="54"/>
      <c r="X508" s="54"/>
      <c r="Y508" s="54"/>
      <c r="Z508" s="54"/>
      <c r="AA508" s="54"/>
      <c r="AB508" s="54"/>
      <c r="AC508" s="1484">
        <v>0.5</v>
      </c>
      <c r="AD508" s="1485"/>
      <c r="AE508" s="1485"/>
      <c r="AF508" s="1486"/>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v>6</v>
      </c>
      <c r="AD509" s="1113"/>
      <c r="AE509" s="1113"/>
      <c r="AF509" s="1113"/>
      <c r="AG509" s="18" t="s">
        <v>248</v>
      </c>
      <c r="AH509" s="1142">
        <v>2024</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4"/>
      <c r="C510" s="1135"/>
      <c r="D510" s="1135"/>
      <c r="E510" s="1135"/>
      <c r="F510" s="1135"/>
      <c r="G510" s="1135"/>
      <c r="H510" s="1136"/>
      <c r="I510" t="s">
        <v>681</v>
      </c>
      <c r="AC510" s="1116">
        <v>6</v>
      </c>
      <c r="AD510" s="1113"/>
      <c r="AE510" s="1113"/>
      <c r="AF510" s="1113"/>
      <c r="AG510" s="18" t="s">
        <v>248</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v>2</v>
      </c>
      <c r="AD511" s="1113"/>
      <c r="AE511" s="1113"/>
      <c r="AF511" s="1113"/>
      <c r="AG511" s="47" t="s">
        <v>248</v>
      </c>
      <c r="AH511" s="1142">
        <v>2025</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8">
        <v>6</v>
      </c>
      <c r="AD512" s="1309"/>
      <c r="AE512" s="1309"/>
      <c r="AF512" s="1309"/>
      <c r="AG512" s="230" t="s">
        <v>248</v>
      </c>
      <c r="AH512" s="1142">
        <v>2024</v>
      </c>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4"/>
      <c r="C513" s="1135"/>
      <c r="D513" s="1135"/>
      <c r="E513" s="1135"/>
      <c r="F513" s="1135"/>
      <c r="G513" s="1135"/>
      <c r="H513" s="1136"/>
      <c r="I513" t="s">
        <v>681</v>
      </c>
      <c r="AC513" s="1116">
        <v>6</v>
      </c>
      <c r="AD513" s="1113"/>
      <c r="AE513" s="1113"/>
      <c r="AF513" s="1113"/>
      <c r="AG513" s="18" t="s">
        <v>248</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v>3</v>
      </c>
      <c r="AD514" s="1113"/>
      <c r="AE514" s="1113"/>
      <c r="AF514" s="1113"/>
      <c r="AG514" s="47" t="s">
        <v>248</v>
      </c>
      <c r="AH514" s="1142">
        <v>2027</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1" t="s">
        <v>684</v>
      </c>
      <c r="C515" s="1132"/>
      <c r="D515" s="1132"/>
      <c r="E515" s="1132"/>
      <c r="F515" s="1132"/>
      <c r="G515" s="1132"/>
      <c r="H515" s="1133"/>
      <c r="I515" s="6" t="s">
        <v>685</v>
      </c>
      <c r="J515" s="7"/>
      <c r="K515" s="7"/>
      <c r="L515" s="7"/>
      <c r="M515" s="7"/>
      <c r="N515" s="7"/>
      <c r="O515" s="1149" t="s">
        <v>2408</v>
      </c>
      <c r="P515" s="1128"/>
      <c r="Q515" s="1128"/>
      <c r="R515" s="1128"/>
      <c r="S515" s="1128"/>
      <c r="T515" s="1128"/>
      <c r="U515" s="1128"/>
      <c r="V515" s="1128"/>
      <c r="W515" s="1128"/>
      <c r="X515" s="1128"/>
      <c r="Y515" s="1128"/>
      <c r="Z515" s="1128"/>
      <c r="AA515" s="1128"/>
      <c r="AB515" s="64"/>
      <c r="AC515" s="1308">
        <v>3</v>
      </c>
      <c r="AD515" s="1309"/>
      <c r="AE515" s="1309"/>
      <c r="AF515" s="1309"/>
      <c r="AG515" s="230" t="s">
        <v>248</v>
      </c>
      <c r="AH515" s="1142">
        <v>2023</v>
      </c>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4"/>
      <c r="C516" s="1135"/>
      <c r="D516" s="1135"/>
      <c r="E516" s="1135"/>
      <c r="F516" s="1135"/>
      <c r="G516" s="1135"/>
      <c r="H516" s="1136"/>
      <c r="I516" s="204" t="s">
        <v>686</v>
      </c>
      <c r="AB516" s="71"/>
      <c r="AC516" s="1116">
        <v>12</v>
      </c>
      <c r="AD516" s="1113"/>
      <c r="AE516" s="1113"/>
      <c r="AF516" s="1113"/>
      <c r="AG516" s="18" t="s">
        <v>248</v>
      </c>
      <c r="AH516" s="1142">
        <v>2022</v>
      </c>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v>3</v>
      </c>
      <c r="AD517" s="1113"/>
      <c r="AE517" s="1113"/>
      <c r="AF517" s="1113"/>
      <c r="AG517" s="47" t="s">
        <v>248</v>
      </c>
      <c r="AH517" s="1142">
        <v>2023</v>
      </c>
      <c r="AI517" s="1142"/>
      <c r="AJ517" s="1142"/>
      <c r="AK517" s="1143"/>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4"/>
      <c r="C518" s="1135"/>
      <c r="D518" s="1135"/>
      <c r="E518" s="1135"/>
      <c r="F518" s="1135"/>
      <c r="G518" s="1135"/>
      <c r="H518" s="1136"/>
      <c r="I518" s="7" t="s">
        <v>688</v>
      </c>
      <c r="J518" s="7"/>
      <c r="K518" s="7"/>
      <c r="L518" s="7"/>
      <c r="M518" s="7"/>
      <c r="N518" s="7"/>
      <c r="O518" s="1149" t="s">
        <v>562</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4"/>
      <c r="C519" s="1135"/>
      <c r="D519" s="1135"/>
      <c r="E519" s="1135"/>
      <c r="F519" s="1135"/>
      <c r="G519" s="1135"/>
      <c r="H519" s="1136"/>
      <c r="I519" t="s">
        <v>686</v>
      </c>
      <c r="AC519" s="1116" t="s">
        <v>124</v>
      </c>
      <c r="AD519" s="1113"/>
      <c r="AE519" s="1113"/>
      <c r="AF519" s="1113"/>
      <c r="AG519" s="18" t="s">
        <v>248</v>
      </c>
      <c r="AH519" s="1142"/>
      <c r="AI519" s="1142"/>
      <c r="AJ519" s="1142"/>
      <c r="AK519" s="1143"/>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t="s">
        <v>124</v>
      </c>
      <c r="AD520" s="1113"/>
      <c r="AE520" s="1113"/>
      <c r="AF520" s="1113"/>
      <c r="AG520" s="47" t="s">
        <v>248</v>
      </c>
      <c r="AH520" s="1142"/>
      <c r="AI520" s="1142"/>
      <c r="AJ520" s="1142"/>
      <c r="AK520" s="1143"/>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v>4</v>
      </c>
      <c r="AD533" s="1113"/>
      <c r="AE533" s="1113"/>
      <c r="AF533" s="1113"/>
      <c r="AG533" s="47" t="s">
        <v>248</v>
      </c>
      <c r="AH533" s="1142">
        <v>2025</v>
      </c>
      <c r="AI533" s="1142"/>
      <c r="AJ533" s="1142"/>
      <c r="AK533" s="1143"/>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4"/>
      <c r="C534" s="1135"/>
      <c r="D534" s="1135"/>
      <c r="E534" s="1135"/>
      <c r="F534" s="1135"/>
      <c r="G534" s="1135"/>
      <c r="H534" s="1136"/>
      <c r="I534" t="s">
        <v>736</v>
      </c>
      <c r="AC534" s="1116">
        <v>2</v>
      </c>
      <c r="AD534" s="1113"/>
      <c r="AE534" s="1113"/>
      <c r="AF534" s="1113"/>
      <c r="AG534" s="18" t="s">
        <v>248</v>
      </c>
      <c r="AH534" s="1142">
        <v>2025</v>
      </c>
      <c r="AI534" s="1142"/>
      <c r="AJ534" s="1142"/>
      <c r="AK534" s="1143"/>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4"/>
      <c r="C535" s="1135"/>
      <c r="D535" s="1135"/>
      <c r="E535" s="1135"/>
      <c r="F535" s="1135"/>
      <c r="G535" s="1135"/>
      <c r="H535" s="1136"/>
      <c r="I535" t="s">
        <v>737</v>
      </c>
      <c r="AC535" s="1116">
        <v>10</v>
      </c>
      <c r="AD535" s="1113"/>
      <c r="AE535" s="1113"/>
      <c r="AF535" s="1113"/>
      <c r="AG535" s="47" t="s">
        <v>248</v>
      </c>
      <c r="AH535" s="1142">
        <v>2026</v>
      </c>
      <c r="AI535" s="1142"/>
      <c r="AJ535" s="1142"/>
      <c r="AK535" s="1143"/>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4"/>
      <c r="C536" s="1135"/>
      <c r="D536" s="1135"/>
      <c r="E536" s="1135"/>
      <c r="F536" s="1135"/>
      <c r="G536" s="1135"/>
      <c r="H536" s="1136"/>
      <c r="I536" t="s">
        <v>738</v>
      </c>
      <c r="AC536" s="1116">
        <v>3</v>
      </c>
      <c r="AD536" s="1113"/>
      <c r="AE536" s="1113"/>
      <c r="AF536" s="1113"/>
      <c r="AG536" s="47" t="s">
        <v>248</v>
      </c>
      <c r="AH536" s="1142">
        <v>2027</v>
      </c>
      <c r="AI536" s="1142"/>
      <c r="AJ536" s="1142"/>
      <c r="AK536" s="1143"/>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v>3</v>
      </c>
      <c r="AD537" s="1113"/>
      <c r="AE537" s="1113"/>
      <c r="AF537" s="1113"/>
      <c r="AG537" s="47" t="s">
        <v>248</v>
      </c>
      <c r="AH537" s="1142">
        <v>2027</v>
      </c>
      <c r="AI537" s="1142"/>
      <c r="AJ537" s="1142"/>
      <c r="AK537" s="1143"/>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1" t="s">
        <v>2194</v>
      </c>
      <c r="C546" s="1132"/>
      <c r="D546" s="1132"/>
      <c r="E546" s="1132"/>
      <c r="F546" s="1132"/>
      <c r="G546" s="1132"/>
      <c r="H546" s="1132"/>
      <c r="I546" s="1132"/>
      <c r="J546" s="1132"/>
      <c r="K546" s="1132"/>
      <c r="L546" s="1132"/>
      <c r="M546" s="1145" t="s">
        <v>2168</v>
      </c>
      <c r="N546" s="1145"/>
      <c r="O546" s="1145"/>
      <c r="P546" s="1145"/>
      <c r="Q546" s="1131" t="s">
        <v>440</v>
      </c>
      <c r="R546" s="1132"/>
      <c r="S546" s="1133"/>
      <c r="T546" s="1131" t="s">
        <v>1989</v>
      </c>
      <c r="U546" s="1132"/>
      <c r="V546" s="1133"/>
      <c r="W546" s="1131" t="s">
        <v>740</v>
      </c>
      <c r="X546" s="1132"/>
      <c r="Y546" s="1133"/>
      <c r="Z546" s="1131" t="s">
        <v>1991</v>
      </c>
      <c r="AA546" s="1132"/>
      <c r="AB546" s="1132"/>
      <c r="AC546" s="1132"/>
      <c r="AD546" s="1133"/>
      <c r="AE546" s="1131" t="s">
        <v>1990</v>
      </c>
      <c r="AF546" s="1132"/>
      <c r="AG546" s="1132"/>
      <c r="AH546" s="1133"/>
      <c r="AI546" s="1131" t="s">
        <v>1992</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098" t="s">
        <v>2409</v>
      </c>
      <c r="D549" s="1098"/>
      <c r="E549" s="1098"/>
      <c r="F549" s="1098"/>
      <c r="G549" s="1098"/>
      <c r="H549" s="1098"/>
      <c r="I549" s="1098"/>
      <c r="J549" s="1098"/>
      <c r="K549" s="1098"/>
      <c r="L549" s="1098"/>
      <c r="M549" s="1097" t="s">
        <v>2178</v>
      </c>
      <c r="N549" s="1097"/>
      <c r="O549" s="1097"/>
      <c r="P549" s="1097"/>
      <c r="Q549" s="1100">
        <v>18</v>
      </c>
      <c r="R549" s="1100"/>
      <c r="S549" s="1101"/>
      <c r="T549" s="1099">
        <v>20</v>
      </c>
      <c r="U549" s="1100"/>
      <c r="V549" s="1101"/>
      <c r="W549" s="1437">
        <v>7.9299999999999995E-2</v>
      </c>
      <c r="X549" s="1438"/>
      <c r="Y549" s="1439"/>
      <c r="Z549" s="1440" t="s">
        <v>2410</v>
      </c>
      <c r="AA549" s="1440"/>
      <c r="AB549" s="1440"/>
      <c r="AC549" s="1440"/>
      <c r="AD549" s="1440"/>
      <c r="AE549" s="1441">
        <v>1</v>
      </c>
      <c r="AF549" s="1442"/>
      <c r="AG549" s="1442"/>
      <c r="AH549" s="1443"/>
      <c r="AI549" s="1434"/>
      <c r="AJ549" s="1435"/>
      <c r="AK549" s="1435"/>
      <c r="AL549" s="1436"/>
      <c r="AM549" s="1215">
        <v>37154016.159999996</v>
      </c>
      <c r="AN549" s="1216"/>
      <c r="AO549" s="1216"/>
      <c r="AP549" s="1216"/>
      <c r="AQ549" s="1216"/>
      <c r="AR549" s="1216"/>
      <c r="AS549" s="1217"/>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098" t="s">
        <v>2477</v>
      </c>
      <c r="D550" s="1098"/>
      <c r="E550" s="1098"/>
      <c r="F550" s="1098"/>
      <c r="G550" s="1098"/>
      <c r="H550" s="1098"/>
      <c r="I550" s="1098"/>
      <c r="J550" s="1098"/>
      <c r="K550" s="1098"/>
      <c r="L550" s="1098"/>
      <c r="M550" s="1097" t="s">
        <v>2175</v>
      </c>
      <c r="N550" s="1097"/>
      <c r="O550" s="1097"/>
      <c r="P550" s="1097"/>
      <c r="Q550" s="1099"/>
      <c r="R550" s="1100"/>
      <c r="S550" s="1101"/>
      <c r="T550" s="1099"/>
      <c r="U550" s="1100"/>
      <c r="V550" s="1101"/>
      <c r="W550" s="1437"/>
      <c r="X550" s="1438"/>
      <c r="Y550" s="1439"/>
      <c r="Z550" s="1440" t="s">
        <v>124</v>
      </c>
      <c r="AA550" s="1440"/>
      <c r="AB550" s="1440"/>
      <c r="AC550" s="1440"/>
      <c r="AD550" s="1440"/>
      <c r="AE550" s="1441"/>
      <c r="AF550" s="1442"/>
      <c r="AG550" s="1442"/>
      <c r="AH550" s="1443"/>
      <c r="AI550" s="1434"/>
      <c r="AJ550" s="1435"/>
      <c r="AK550" s="1435"/>
      <c r="AL550" s="1436"/>
      <c r="AM550" s="1215">
        <v>3999998.51</v>
      </c>
      <c r="AN550" s="1216"/>
      <c r="AO550" s="1216"/>
      <c r="AP550" s="1216"/>
      <c r="AQ550" s="1216"/>
      <c r="AR550" s="1216"/>
      <c r="AS550" s="1217"/>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098" t="s">
        <v>2411</v>
      </c>
      <c r="D551" s="1098"/>
      <c r="E551" s="1098"/>
      <c r="F551" s="1098"/>
      <c r="G551" s="1098"/>
      <c r="H551" s="1098"/>
      <c r="I551" s="1098"/>
      <c r="J551" s="1098"/>
      <c r="K551" s="1098"/>
      <c r="L551" s="1098"/>
      <c r="M551" s="1097" t="s">
        <v>2170</v>
      </c>
      <c r="N551" s="1097"/>
      <c r="O551" s="1097"/>
      <c r="P551" s="1097"/>
      <c r="Q551" s="1099"/>
      <c r="R551" s="1100"/>
      <c r="S551" s="1101"/>
      <c r="T551" s="1099"/>
      <c r="U551" s="1100"/>
      <c r="V551" s="1101"/>
      <c r="W551" s="1437"/>
      <c r="X551" s="1438"/>
      <c r="Y551" s="1439"/>
      <c r="Z551" s="1440" t="s">
        <v>124</v>
      </c>
      <c r="AA551" s="1440"/>
      <c r="AB551" s="1440"/>
      <c r="AC551" s="1440"/>
      <c r="AD551" s="1440"/>
      <c r="AE551" s="1441"/>
      <c r="AF551" s="1442"/>
      <c r="AG551" s="1442"/>
      <c r="AH551" s="1443"/>
      <c r="AI551" s="1434"/>
      <c r="AJ551" s="1435"/>
      <c r="AK551" s="1435"/>
      <c r="AL551" s="1436"/>
      <c r="AM551" s="1215">
        <v>2134667.86</v>
      </c>
      <c r="AN551" s="1216"/>
      <c r="AO551" s="1216"/>
      <c r="AP551" s="1216"/>
      <c r="AQ551" s="1216"/>
      <c r="AR551" s="1216"/>
      <c r="AS551" s="1217"/>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098"/>
      <c r="D552" s="1098"/>
      <c r="E552" s="1098"/>
      <c r="F552" s="1098"/>
      <c r="G552" s="1098"/>
      <c r="H552" s="1098"/>
      <c r="I552" s="1098"/>
      <c r="J552" s="1098"/>
      <c r="K552" s="1098"/>
      <c r="L552" s="1098"/>
      <c r="M552" s="1097" t="s">
        <v>1977</v>
      </c>
      <c r="N552" s="1097"/>
      <c r="O552" s="1097"/>
      <c r="P552" s="1097"/>
      <c r="Q552" s="1099"/>
      <c r="R552" s="1100"/>
      <c r="S552" s="1101"/>
      <c r="T552" s="1099"/>
      <c r="U552" s="1100"/>
      <c r="V552" s="1101"/>
      <c r="W552" s="1437"/>
      <c r="X552" s="1438"/>
      <c r="Y552" s="1439"/>
      <c r="Z552" s="1440" t="s">
        <v>1977</v>
      </c>
      <c r="AA552" s="1440"/>
      <c r="AB552" s="1440"/>
      <c r="AC552" s="1440"/>
      <c r="AD552" s="1440"/>
      <c r="AE552" s="1441"/>
      <c r="AF552" s="1442"/>
      <c r="AG552" s="1442"/>
      <c r="AH552" s="1443"/>
      <c r="AI552" s="1434"/>
      <c r="AJ552" s="1435"/>
      <c r="AK552" s="1435"/>
      <c r="AL552" s="1436"/>
      <c r="AM552" s="1215"/>
      <c r="AN552" s="1216"/>
      <c r="AO552" s="1216"/>
      <c r="AP552" s="1216"/>
      <c r="AQ552" s="1216"/>
      <c r="AR552" s="1216"/>
      <c r="AS552" s="1217"/>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098"/>
      <c r="D553" s="1098"/>
      <c r="E553" s="1098"/>
      <c r="F553" s="1098"/>
      <c r="G553" s="1098"/>
      <c r="H553" s="1098"/>
      <c r="I553" s="1098"/>
      <c r="J553" s="1098"/>
      <c r="K553" s="1098"/>
      <c r="L553" s="1098"/>
      <c r="M553" s="1097" t="s">
        <v>1977</v>
      </c>
      <c r="N553" s="1097"/>
      <c r="O553" s="1097"/>
      <c r="P553" s="1097"/>
      <c r="Q553" s="1099"/>
      <c r="R553" s="1100"/>
      <c r="S553" s="1101"/>
      <c r="T553" s="1099"/>
      <c r="U553" s="1100"/>
      <c r="V553" s="1101"/>
      <c r="W553" s="1437"/>
      <c r="X553" s="1438"/>
      <c r="Y553" s="1439"/>
      <c r="Z553" s="1440" t="s">
        <v>1977</v>
      </c>
      <c r="AA553" s="1440"/>
      <c r="AB553" s="1440"/>
      <c r="AC553" s="1440"/>
      <c r="AD553" s="1440"/>
      <c r="AE553" s="1441"/>
      <c r="AF553" s="1442"/>
      <c r="AG553" s="1442"/>
      <c r="AH553" s="1443"/>
      <c r="AI553" s="1434"/>
      <c r="AJ553" s="1435"/>
      <c r="AK553" s="1435"/>
      <c r="AL553" s="1436"/>
      <c r="AM553" s="1215"/>
      <c r="AN553" s="1216"/>
      <c r="AO553" s="1216"/>
      <c r="AP553" s="1216"/>
      <c r="AQ553" s="1216"/>
      <c r="AR553" s="1216"/>
      <c r="AS553" s="1217"/>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098"/>
      <c r="D554" s="1098"/>
      <c r="E554" s="1098"/>
      <c r="F554" s="1098"/>
      <c r="G554" s="1098"/>
      <c r="H554" s="1098"/>
      <c r="I554" s="1098"/>
      <c r="J554" s="1098"/>
      <c r="K554" s="1098"/>
      <c r="L554" s="1098"/>
      <c r="M554" s="1097" t="s">
        <v>1977</v>
      </c>
      <c r="N554" s="1097"/>
      <c r="O554" s="1097"/>
      <c r="P554" s="1097"/>
      <c r="Q554" s="1099"/>
      <c r="R554" s="1100"/>
      <c r="S554" s="1101"/>
      <c r="T554" s="1099"/>
      <c r="U554" s="1100"/>
      <c r="V554" s="1101"/>
      <c r="W554" s="1437"/>
      <c r="X554" s="1438"/>
      <c r="Y554" s="1439"/>
      <c r="Z554" s="1440" t="s">
        <v>1977</v>
      </c>
      <c r="AA554" s="1440"/>
      <c r="AB554" s="1440"/>
      <c r="AC554" s="1440"/>
      <c r="AD554" s="1440"/>
      <c r="AE554" s="1441"/>
      <c r="AF554" s="1442"/>
      <c r="AG554" s="1442"/>
      <c r="AH554" s="1443"/>
      <c r="AI554" s="1434"/>
      <c r="AJ554" s="1435"/>
      <c r="AK554" s="1435"/>
      <c r="AL554" s="1436"/>
      <c r="AM554" s="1215"/>
      <c r="AN554" s="1216"/>
      <c r="AO554" s="1216"/>
      <c r="AP554" s="1216"/>
      <c r="AQ554" s="1216"/>
      <c r="AR554" s="1216"/>
      <c r="AS554" s="1217"/>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098"/>
      <c r="D555" s="1098"/>
      <c r="E555" s="1098"/>
      <c r="F555" s="1098"/>
      <c r="G555" s="1098"/>
      <c r="H555" s="1098"/>
      <c r="I555" s="1098"/>
      <c r="J555" s="1098"/>
      <c r="K555" s="1098"/>
      <c r="L555" s="1098"/>
      <c r="M555" s="1097" t="s">
        <v>1977</v>
      </c>
      <c r="N555" s="1097"/>
      <c r="O555" s="1097"/>
      <c r="P555" s="1097"/>
      <c r="Q555" s="1099"/>
      <c r="R555" s="1100"/>
      <c r="S555" s="1101"/>
      <c r="T555" s="1099"/>
      <c r="U555" s="1100"/>
      <c r="V555" s="1101"/>
      <c r="W555" s="1437"/>
      <c r="X555" s="1438"/>
      <c r="Y555" s="1439"/>
      <c r="Z555" s="1440" t="s">
        <v>1977</v>
      </c>
      <c r="AA555" s="1440"/>
      <c r="AB555" s="1440"/>
      <c r="AC555" s="1440"/>
      <c r="AD555" s="1440"/>
      <c r="AE555" s="1441"/>
      <c r="AF555" s="1442"/>
      <c r="AG555" s="1442"/>
      <c r="AH555" s="1443"/>
      <c r="AI555" s="1434"/>
      <c r="AJ555" s="1435"/>
      <c r="AK555" s="1435"/>
      <c r="AL555" s="1436"/>
      <c r="AM555" s="1215"/>
      <c r="AN555" s="1216"/>
      <c r="AO555" s="1216"/>
      <c r="AP555" s="1216"/>
      <c r="AQ555" s="1216"/>
      <c r="AR555" s="1216"/>
      <c r="AS555" s="1217"/>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098"/>
      <c r="D556" s="1098"/>
      <c r="E556" s="1098"/>
      <c r="F556" s="1098"/>
      <c r="G556" s="1098"/>
      <c r="H556" s="1098"/>
      <c r="I556" s="1098"/>
      <c r="J556" s="1098"/>
      <c r="K556" s="1098"/>
      <c r="L556" s="1098"/>
      <c r="M556" s="1097" t="s">
        <v>1977</v>
      </c>
      <c r="N556" s="1097"/>
      <c r="O556" s="1097"/>
      <c r="P556" s="1097"/>
      <c r="Q556" s="1099"/>
      <c r="R556" s="1100"/>
      <c r="S556" s="1101"/>
      <c r="T556" s="1099"/>
      <c r="U556" s="1100"/>
      <c r="V556" s="1101"/>
      <c r="W556" s="1437"/>
      <c r="X556" s="1438"/>
      <c r="Y556" s="1439"/>
      <c r="Z556" s="1440" t="s">
        <v>1977</v>
      </c>
      <c r="AA556" s="1440"/>
      <c r="AB556" s="1440"/>
      <c r="AC556" s="1440"/>
      <c r="AD556" s="1440"/>
      <c r="AE556" s="1441"/>
      <c r="AF556" s="1442"/>
      <c r="AG556" s="1442"/>
      <c r="AH556" s="1443"/>
      <c r="AI556" s="1434"/>
      <c r="AJ556" s="1435"/>
      <c r="AK556" s="1435"/>
      <c r="AL556" s="1436"/>
      <c r="AM556" s="1215"/>
      <c r="AN556" s="1216"/>
      <c r="AO556" s="1216"/>
      <c r="AP556" s="1216"/>
      <c r="AQ556" s="1216"/>
      <c r="AR556" s="1216"/>
      <c r="AS556" s="1217"/>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098"/>
      <c r="D557" s="1098"/>
      <c r="E557" s="1098"/>
      <c r="F557" s="1098"/>
      <c r="G557" s="1098"/>
      <c r="H557" s="1098"/>
      <c r="I557" s="1098"/>
      <c r="J557" s="1098"/>
      <c r="K557" s="1098"/>
      <c r="L557" s="1098"/>
      <c r="M557" s="1097" t="s">
        <v>1977</v>
      </c>
      <c r="N557" s="1097"/>
      <c r="O557" s="1097"/>
      <c r="P557" s="1097"/>
      <c r="Q557" s="1099"/>
      <c r="R557" s="1100"/>
      <c r="S557" s="1101"/>
      <c r="T557" s="1099"/>
      <c r="U557" s="1100"/>
      <c r="V557" s="1101"/>
      <c r="W557" s="1437"/>
      <c r="X557" s="1438"/>
      <c r="Y557" s="1439"/>
      <c r="Z557" s="1440" t="s">
        <v>1977</v>
      </c>
      <c r="AA557" s="1440"/>
      <c r="AB557" s="1440"/>
      <c r="AC557" s="1440"/>
      <c r="AD557" s="1440"/>
      <c r="AE557" s="1441"/>
      <c r="AF557" s="1442"/>
      <c r="AG557" s="1442"/>
      <c r="AH557" s="1443"/>
      <c r="AI557" s="1434"/>
      <c r="AJ557" s="1435"/>
      <c r="AK557" s="1435"/>
      <c r="AL557" s="1436"/>
      <c r="AM557" s="1215"/>
      <c r="AN557" s="1216"/>
      <c r="AO557" s="1216"/>
      <c r="AP557" s="1216"/>
      <c r="AQ557" s="1216"/>
      <c r="AR557" s="1216"/>
      <c r="AS557" s="1217"/>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098"/>
      <c r="D558" s="1098"/>
      <c r="E558" s="1098"/>
      <c r="F558" s="1098"/>
      <c r="G558" s="1098"/>
      <c r="H558" s="1098"/>
      <c r="I558" s="1098"/>
      <c r="J558" s="1098"/>
      <c r="K558" s="1098"/>
      <c r="L558" s="1098"/>
      <c r="M558" s="1097" t="s">
        <v>1977</v>
      </c>
      <c r="N558" s="1097"/>
      <c r="O558" s="1097"/>
      <c r="P558" s="1097"/>
      <c r="Q558" s="1099"/>
      <c r="R558" s="1100"/>
      <c r="S558" s="1101"/>
      <c r="T558" s="1099"/>
      <c r="U558" s="1100"/>
      <c r="V558" s="1101"/>
      <c r="W558" s="1437"/>
      <c r="X558" s="1438"/>
      <c r="Y558" s="1439"/>
      <c r="Z558" s="1440" t="s">
        <v>1977</v>
      </c>
      <c r="AA558" s="1440"/>
      <c r="AB558" s="1440"/>
      <c r="AC558" s="1440"/>
      <c r="AD558" s="1440"/>
      <c r="AE558" s="1441"/>
      <c r="AF558" s="1442"/>
      <c r="AG558" s="1442"/>
      <c r="AH558" s="1443"/>
      <c r="AI558" s="1434"/>
      <c r="AJ558" s="1435"/>
      <c r="AK558" s="1435"/>
      <c r="AL558" s="1436"/>
      <c r="AM558" s="1215"/>
      <c r="AN558" s="1216"/>
      <c r="AO558" s="1216"/>
      <c r="AP558" s="1216"/>
      <c r="AQ558" s="1216"/>
      <c r="AR558" s="1216"/>
      <c r="AS558" s="1217"/>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098"/>
      <c r="D559" s="1098"/>
      <c r="E559" s="1098"/>
      <c r="F559" s="1098"/>
      <c r="G559" s="1098"/>
      <c r="H559" s="1098"/>
      <c r="I559" s="1098"/>
      <c r="J559" s="1098"/>
      <c r="K559" s="1098"/>
      <c r="L559" s="1098"/>
      <c r="M559" s="1097" t="s">
        <v>1977</v>
      </c>
      <c r="N559" s="1097"/>
      <c r="O559" s="1097"/>
      <c r="P559" s="1097"/>
      <c r="Q559" s="1099"/>
      <c r="R559" s="1100"/>
      <c r="S559" s="1101"/>
      <c r="T559" s="1099"/>
      <c r="U559" s="1100"/>
      <c r="V559" s="1101"/>
      <c r="W559" s="1437"/>
      <c r="X559" s="1438"/>
      <c r="Y559" s="1439"/>
      <c r="Z559" s="1440" t="s">
        <v>1977</v>
      </c>
      <c r="AA559" s="1440"/>
      <c r="AB559" s="1440"/>
      <c r="AC559" s="1440"/>
      <c r="AD559" s="1440"/>
      <c r="AE559" s="1441"/>
      <c r="AF559" s="1442"/>
      <c r="AG559" s="1442"/>
      <c r="AH559" s="1443"/>
      <c r="AI559" s="1434"/>
      <c r="AJ559" s="1435"/>
      <c r="AK559" s="1435"/>
      <c r="AL559" s="1436"/>
      <c r="AM559" s="1215"/>
      <c r="AN559" s="1216"/>
      <c r="AO559" s="1216"/>
      <c r="AP559" s="1216"/>
      <c r="AQ559" s="1216"/>
      <c r="AR559" s="1216"/>
      <c r="AS559" s="1217"/>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098"/>
      <c r="D560" s="1098"/>
      <c r="E560" s="1098"/>
      <c r="F560" s="1098"/>
      <c r="G560" s="1098"/>
      <c r="H560" s="1098"/>
      <c r="I560" s="1098"/>
      <c r="J560" s="1098"/>
      <c r="K560" s="1098"/>
      <c r="L560" s="1098"/>
      <c r="M560" s="1097" t="s">
        <v>1977</v>
      </c>
      <c r="N560" s="1097"/>
      <c r="O560" s="1097"/>
      <c r="P560" s="1097"/>
      <c r="Q560" s="1099"/>
      <c r="R560" s="1100"/>
      <c r="S560" s="1101"/>
      <c r="T560" s="1099"/>
      <c r="U560" s="1100"/>
      <c r="V560" s="1101"/>
      <c r="W560" s="1437"/>
      <c r="X560" s="1438"/>
      <c r="Y560" s="1439"/>
      <c r="Z560" s="1440" t="s">
        <v>1977</v>
      </c>
      <c r="AA560" s="1440"/>
      <c r="AB560" s="1440"/>
      <c r="AC560" s="1440"/>
      <c r="AD560" s="1440"/>
      <c r="AE560" s="1441"/>
      <c r="AF560" s="1442"/>
      <c r="AG560" s="1442"/>
      <c r="AH560" s="1443"/>
      <c r="AI560" s="1434"/>
      <c r="AJ560" s="1435"/>
      <c r="AK560" s="1435"/>
      <c r="AL560" s="1436"/>
      <c r="AM560" s="1215"/>
      <c r="AN560" s="1216"/>
      <c r="AO560" s="1216"/>
      <c r="AP560" s="1216"/>
      <c r="AQ560" s="1216"/>
      <c r="AR560" s="1216"/>
      <c r="AS560" s="1217"/>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43288682.529999994</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84" t="str">
        <f>C549</f>
        <v>Citibank - Construction Loan</v>
      </c>
      <c r="H563" s="1184"/>
      <c r="I563" s="1184"/>
      <c r="J563" s="1184"/>
      <c r="K563" s="1184"/>
      <c r="L563" s="1184"/>
      <c r="M563" s="1184"/>
      <c r="N563" s="1184"/>
      <c r="O563" s="1184"/>
      <c r="P563" s="1184"/>
      <c r="Q563" s="1184"/>
      <c r="R563" s="1184"/>
      <c r="S563" s="12"/>
      <c r="T563" s="61" t="s">
        <v>901</v>
      </c>
      <c r="U563" t="s">
        <v>82</v>
      </c>
      <c r="Z563" s="1184" t="str">
        <f>C550</f>
        <v>Tax Credit Equity - CREA</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6" t="s">
        <v>2412</v>
      </c>
      <c r="H564" s="1056"/>
      <c r="I564" s="1056"/>
      <c r="J564" s="1056"/>
      <c r="K564" s="1056"/>
      <c r="L564" s="1056"/>
      <c r="M564" s="1056"/>
      <c r="N564" s="1056"/>
      <c r="O564" s="1056"/>
      <c r="P564" s="1056"/>
      <c r="Q564" s="1056"/>
      <c r="R564" s="1056"/>
      <c r="S564" s="12"/>
      <c r="T564" s="4"/>
      <c r="U564" t="s">
        <v>372</v>
      </c>
      <c r="Z564" s="1056" t="s">
        <v>2373</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6" t="s">
        <v>2413</v>
      </c>
      <c r="H565" s="1056"/>
      <c r="I565" s="1056"/>
      <c r="J565" s="1056"/>
      <c r="K565" s="1056"/>
      <c r="L565" s="1056"/>
      <c r="M565" s="1056"/>
      <c r="N565" s="1056"/>
      <c r="O565" s="1056"/>
      <c r="P565" s="1056"/>
      <c r="Q565" s="1056"/>
      <c r="R565" s="1056"/>
      <c r="T565" s="4"/>
      <c r="U565" t="s">
        <v>430</v>
      </c>
      <c r="Z565" s="1054" t="s">
        <v>2374</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6" t="s">
        <v>2414</v>
      </c>
      <c r="H566" s="1056"/>
      <c r="I566" s="1056"/>
      <c r="J566" s="1056"/>
      <c r="K566" s="1056"/>
      <c r="L566" s="1056"/>
      <c r="M566" s="1056"/>
      <c r="N566" s="1056"/>
      <c r="O566" s="1056"/>
      <c r="P566" s="1056"/>
      <c r="Q566" s="1056"/>
      <c r="R566" s="1056"/>
      <c r="S566" s="12"/>
      <c r="T566" s="4"/>
      <c r="U566" t="s">
        <v>833</v>
      </c>
      <c r="Z566" s="1054" t="s">
        <v>2375</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58" t="s">
        <v>2415</v>
      </c>
      <c r="H567" s="1058"/>
      <c r="I567" s="1058"/>
      <c r="J567" s="1058"/>
      <c r="K567" s="1058"/>
      <c r="L567" s="1058"/>
      <c r="O567" s="42" t="s">
        <v>818</v>
      </c>
      <c r="P567" s="1315"/>
      <c r="Q567" s="1315"/>
      <c r="R567" s="1315"/>
      <c r="S567" s="14"/>
      <c r="T567" s="4"/>
      <c r="U567" t="s">
        <v>650</v>
      </c>
      <c r="Z567" s="1058" t="s">
        <v>2376</v>
      </c>
      <c r="AA567" s="1058"/>
      <c r="AB567" s="1058"/>
      <c r="AC567" s="1058"/>
      <c r="AD567" s="1058"/>
      <c r="AE567" s="1058"/>
      <c r="AH567" s="42" t="s">
        <v>818</v>
      </c>
      <c r="AI567" s="1315"/>
      <c r="AJ567" s="1315"/>
      <c r="AK567" s="1315"/>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56" t="s">
        <v>2416</v>
      </c>
      <c r="I568" s="1056"/>
      <c r="J568" s="1056"/>
      <c r="K568" s="1056"/>
      <c r="L568" s="1056"/>
      <c r="M568" s="1056"/>
      <c r="N568" s="1056"/>
      <c r="O568" s="1056"/>
      <c r="P568" s="1056"/>
      <c r="Q568" s="1056"/>
      <c r="R568" s="1056"/>
      <c r="S568" s="12"/>
      <c r="T568" s="4"/>
      <c r="U568" t="s">
        <v>834</v>
      </c>
      <c r="AA568" s="1056" t="s">
        <v>2417</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15" t="s">
        <v>108</v>
      </c>
      <c r="O569" s="1115"/>
      <c r="T569" s="4"/>
      <c r="U569" t="s">
        <v>836</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84" t="str">
        <f>C551</f>
        <v>Deferred Cost</v>
      </c>
      <c r="H571" s="1184"/>
      <c r="I571" s="1184"/>
      <c r="J571" s="1184"/>
      <c r="K571" s="1184"/>
      <c r="L571" s="1184"/>
      <c r="M571" s="1184"/>
      <c r="N571" s="1184"/>
      <c r="O571" s="1184"/>
      <c r="P571" s="1184"/>
      <c r="Q571" s="1184"/>
      <c r="R571" s="1184"/>
      <c r="T571" s="61" t="s">
        <v>431</v>
      </c>
      <c r="U571" t="s">
        <v>82</v>
      </c>
      <c r="Z571" s="1184">
        <f>C552</f>
        <v>0</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6" t="s">
        <v>2418</v>
      </c>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4" t="s">
        <v>2472</v>
      </c>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4" t="s">
        <v>2343</v>
      </c>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379" t="s">
        <v>2344</v>
      </c>
      <c r="H575" s="1058"/>
      <c r="I575" s="1058"/>
      <c r="J575" s="1058"/>
      <c r="K575" s="1058"/>
      <c r="L575" s="1058"/>
      <c r="O575" s="42" t="s">
        <v>818</v>
      </c>
      <c r="P575" s="1315"/>
      <c r="Q575" s="1315"/>
      <c r="R575" s="1315"/>
      <c r="T575" s="4"/>
      <c r="U575" t="s">
        <v>650</v>
      </c>
      <c r="Z575" s="1058"/>
      <c r="AA575" s="1058"/>
      <c r="AB575" s="1058"/>
      <c r="AC575" s="1058"/>
      <c r="AD575" s="1058"/>
      <c r="AE575" s="1058"/>
      <c r="AH575" s="42" t="s">
        <v>818</v>
      </c>
      <c r="AI575" s="1315"/>
      <c r="AJ575" s="1315"/>
      <c r="AK575" s="1315"/>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56" t="s">
        <v>2170</v>
      </c>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42" t="s">
        <v>108</v>
      </c>
      <c r="O577" s="1142"/>
      <c r="T577" s="4"/>
      <c r="U577" t="s">
        <v>836</v>
      </c>
      <c r="AG577" s="1142" t="s">
        <v>482</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4">
        <f>C553</f>
        <v>0</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58"/>
      <c r="H583" s="1058"/>
      <c r="I583" s="1058"/>
      <c r="J583" s="1058"/>
      <c r="K583" s="1058"/>
      <c r="L583" s="1058"/>
      <c r="O583" s="42" t="s">
        <v>818</v>
      </c>
      <c r="P583" s="1315"/>
      <c r="Q583" s="1315"/>
      <c r="R583" s="1315"/>
      <c r="T583" s="4"/>
      <c r="U583" t="s">
        <v>650</v>
      </c>
      <c r="Z583" s="1058"/>
      <c r="AA583" s="1058"/>
      <c r="AB583" s="1058"/>
      <c r="AC583" s="1058"/>
      <c r="AD583" s="1058"/>
      <c r="AE583" s="1058"/>
      <c r="AH583" s="42" t="s">
        <v>818</v>
      </c>
      <c r="AI583" s="1315"/>
      <c r="AJ583" s="1315"/>
      <c r="AK583" s="131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42" t="s">
        <v>482</v>
      </c>
      <c r="O585" s="1142"/>
      <c r="T585" s="4"/>
      <c r="U585" t="s">
        <v>836</v>
      </c>
      <c r="AG585" s="1142" t="s">
        <v>482</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780</v>
      </c>
      <c r="BY590" s="839"/>
      <c r="BZ590" s="839"/>
      <c r="CA590" s="839"/>
      <c r="CB590" s="839"/>
      <c r="CC590" s="839" t="s">
        <v>781</v>
      </c>
      <c r="CD590" s="839"/>
      <c r="CE590" s="839"/>
      <c r="CF590" s="839"/>
      <c r="CG590" s="839"/>
      <c r="CH590" s="839" t="s">
        <v>782</v>
      </c>
      <c r="CI590" s="839"/>
      <c r="CJ590" s="839"/>
      <c r="CK590" s="839"/>
      <c r="CL590" s="839"/>
      <c r="CM590" s="839" t="s">
        <v>2237</v>
      </c>
      <c r="CN590" s="839"/>
      <c r="CO590" s="839"/>
      <c r="CP590" s="177"/>
      <c r="CQ590" s="840"/>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58"/>
      <c r="H591" s="1058"/>
      <c r="I591" s="1058"/>
      <c r="J591" s="1058"/>
      <c r="K591" s="1058"/>
      <c r="L591" s="1058"/>
      <c r="M591"/>
      <c r="N591"/>
      <c r="O591" s="42" t="s">
        <v>818</v>
      </c>
      <c r="P591" s="1315"/>
      <c r="Q591" s="1315"/>
      <c r="R591" s="1315"/>
      <c r="S591"/>
      <c r="T591" s="4"/>
      <c r="U591" t="s">
        <v>650</v>
      </c>
      <c r="V591"/>
      <c r="W591"/>
      <c r="X591"/>
      <c r="Y591"/>
      <c r="Z591" s="1058"/>
      <c r="AA591" s="1058"/>
      <c r="AB591" s="1058"/>
      <c r="AC591" s="1058"/>
      <c r="AD591" s="1058"/>
      <c r="AE591" s="1058"/>
      <c r="AF591"/>
      <c r="AG591"/>
      <c r="AH591" s="42" t="s">
        <v>818</v>
      </c>
      <c r="AI591" s="1315"/>
      <c r="AJ591" s="1315"/>
      <c r="AK591" s="1315"/>
      <c r="AL591"/>
      <c r="AZ591" s="5" t="s">
        <v>441</v>
      </c>
      <c r="BA591" s="41"/>
      <c r="BB591" s="41"/>
      <c r="BC591" s="41"/>
      <c r="BD591" s="41"/>
      <c r="BE591" s="214" t="s">
        <v>351</v>
      </c>
      <c r="BF591" s="215"/>
      <c r="BG591" s="1068"/>
      <c r="BH591" s="1071"/>
      <c r="BI591" s="214" t="s">
        <v>352</v>
      </c>
      <c r="BJ591" s="215"/>
      <c r="BK591" s="1068"/>
      <c r="BL591" s="1071"/>
      <c r="BN591" s="1068">
        <f t="shared" ref="BN591" si="1">IF(B695="SRO/Studio",G695,0)</f>
        <v>0</v>
      </c>
      <c r="BO591" s="1069"/>
      <c r="BP591" s="1069"/>
      <c r="BQ591" s="1069"/>
      <c r="BR591" s="1070"/>
      <c r="BS591" s="1068">
        <f t="shared" ref="BS591" si="2">IF(B695="1 Bedroom",G695,0)</f>
        <v>5</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39" t="s">
        <v>419</v>
      </c>
      <c r="CT591" s="839"/>
      <c r="CU591" s="839"/>
      <c r="CV591" s="839"/>
      <c r="CW591" s="839"/>
      <c r="CX591" s="839" t="s">
        <v>442</v>
      </c>
      <c r="CY591" s="839"/>
      <c r="CZ591" s="177"/>
      <c r="DA591" s="178"/>
      <c r="DB591" s="840"/>
      <c r="DC591" s="839" t="s">
        <v>780</v>
      </c>
      <c r="DD591" s="839"/>
      <c r="DE591" s="839"/>
      <c r="DF591" s="839"/>
      <c r="DG591" s="839"/>
      <c r="DH591" s="839" t="s">
        <v>781</v>
      </c>
      <c r="DI591" s="839"/>
      <c r="DJ591" s="839"/>
      <c r="DK591" s="839"/>
      <c r="DL591" s="839"/>
      <c r="DM591" s="839" t="s">
        <v>791</v>
      </c>
      <c r="DN591" s="839"/>
      <c r="DO591" s="839"/>
      <c r="DP591" s="839"/>
      <c r="DQ591" s="839"/>
      <c r="DR591" s="839" t="s">
        <v>344</v>
      </c>
      <c r="DS591" s="839"/>
      <c r="DT591" s="839"/>
      <c r="DU591" s="839"/>
      <c r="DV591" s="839"/>
    </row>
    <row r="592" spans="1:126" s="5" customFormat="1" ht="12.9"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5</v>
      </c>
      <c r="BL592" s="1071"/>
      <c r="BN592" s="1068">
        <f t="shared" ref="BN592:BN625" si="9">IF(B696="SRO/Studio",G696,0)</f>
        <v>0</v>
      </c>
      <c r="BO592" s="1069"/>
      <c r="BP592" s="1069"/>
      <c r="BQ592" s="1069"/>
      <c r="BR592" s="1070"/>
      <c r="BS592" s="1068">
        <f t="shared" ref="BS592:BS625" si="10">IF(B696="1 Bedroom",G696,0)</f>
        <v>9</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5</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 customHeight="1">
      <c r="A593" s="4"/>
      <c r="B593" t="s">
        <v>836</v>
      </c>
      <c r="C593"/>
      <c r="D593"/>
      <c r="E593"/>
      <c r="F593"/>
      <c r="G593"/>
      <c r="H593"/>
      <c r="I593"/>
      <c r="J593"/>
      <c r="K593"/>
      <c r="L593"/>
      <c r="M593"/>
      <c r="N593" s="1142" t="s">
        <v>482</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4">
        <f t="shared" ref="BE593:BE615" si="15">IF(AND(AH696&lt;=0.5,AH696&gt;=0.36),1,0)</f>
        <v>1</v>
      </c>
      <c r="BF593" s="1075"/>
      <c r="BG593" s="1068">
        <f t="shared" si="7"/>
        <v>9</v>
      </c>
      <c r="BH593" s="1071"/>
      <c r="BI593" s="1074">
        <f t="shared" ref="BI593:BI615" si="16">IF(AND(AH696&lt;=0.35,AH696&gt;0),1,0)</f>
        <v>0</v>
      </c>
      <c r="BJ593" s="1075"/>
      <c r="BK593" s="1068">
        <f t="shared" si="8"/>
        <v>0</v>
      </c>
      <c r="BL593" s="1071"/>
      <c r="BN593" s="1068">
        <f t="shared" si="9"/>
        <v>0</v>
      </c>
      <c r="BO593" s="1069"/>
      <c r="BP593" s="1069"/>
      <c r="BQ593" s="1069"/>
      <c r="BR593" s="1070"/>
      <c r="BS593" s="1068">
        <f t="shared" si="10"/>
        <v>10</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 customHeight="1">
      <c r="AZ594" s="5" t="s">
        <v>781</v>
      </c>
      <c r="BA594" s="41"/>
      <c r="BB594" s="41"/>
      <c r="BC594" s="41"/>
      <c r="BD594" s="41"/>
      <c r="BE594" s="1074">
        <f t="shared" si="15"/>
        <v>0</v>
      </c>
      <c r="BF594" s="1075"/>
      <c r="BG594" s="1068">
        <f t="shared" si="7"/>
        <v>0</v>
      </c>
      <c r="BH594" s="1071"/>
      <c r="BI594" s="1074">
        <f t="shared" si="16"/>
        <v>0</v>
      </c>
      <c r="BJ594" s="1075"/>
      <c r="BK594" s="1068">
        <f t="shared" si="8"/>
        <v>0</v>
      </c>
      <c r="BL594" s="1071"/>
      <c r="BN594" s="1068">
        <f t="shared" si="9"/>
        <v>0</v>
      </c>
      <c r="BO594" s="1069"/>
      <c r="BP594" s="1069"/>
      <c r="BQ594" s="1069"/>
      <c r="BR594" s="1070"/>
      <c r="BS594" s="1068">
        <f t="shared" si="10"/>
        <v>0</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4">
        <f t="shared" si="15"/>
        <v>0</v>
      </c>
      <c r="BF595" s="1075"/>
      <c r="BG595" s="1068">
        <f t="shared" si="7"/>
        <v>0</v>
      </c>
      <c r="BH595" s="1071"/>
      <c r="BI595" s="1074">
        <f t="shared" si="16"/>
        <v>0</v>
      </c>
      <c r="BJ595" s="1075"/>
      <c r="BK595" s="1068">
        <f t="shared" si="8"/>
        <v>0</v>
      </c>
      <c r="BL595" s="1071"/>
      <c r="BN595" s="1068">
        <f t="shared" si="9"/>
        <v>0</v>
      </c>
      <c r="BO595" s="1069"/>
      <c r="BP595" s="1069"/>
      <c r="BQ595" s="1069"/>
      <c r="BR595" s="1070"/>
      <c r="BS595" s="1068">
        <f t="shared" si="10"/>
        <v>0</v>
      </c>
      <c r="BT595" s="1069"/>
      <c r="BU595" s="1069"/>
      <c r="BV595" s="1069"/>
      <c r="BW595" s="1071"/>
      <c r="BX595" s="1068">
        <f t="shared" si="11"/>
        <v>5</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15"/>
        <v>0</v>
      </c>
      <c r="BF596" s="1075"/>
      <c r="BG596" s="1068">
        <f t="shared" si="7"/>
        <v>0</v>
      </c>
      <c r="BH596" s="1071"/>
      <c r="BI596" s="1074">
        <f t="shared" si="16"/>
        <v>1</v>
      </c>
      <c r="BJ596" s="1075"/>
      <c r="BK596" s="1068">
        <f t="shared" si="8"/>
        <v>5</v>
      </c>
      <c r="BL596" s="1071"/>
      <c r="BN596" s="1068">
        <f t="shared" si="9"/>
        <v>0</v>
      </c>
      <c r="BO596" s="1069"/>
      <c r="BP596" s="1069"/>
      <c r="BQ596" s="1069"/>
      <c r="BR596" s="1070"/>
      <c r="BS596" s="1068">
        <f t="shared" si="10"/>
        <v>0</v>
      </c>
      <c r="BT596" s="1069"/>
      <c r="BU596" s="1069"/>
      <c r="BV596" s="1069"/>
      <c r="BW596" s="1071"/>
      <c r="BX596" s="1068">
        <f t="shared" si="11"/>
        <v>6</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5</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15"/>
        <v>1</v>
      </c>
      <c r="BF597" s="1075"/>
      <c r="BG597" s="1068">
        <f t="shared" si="7"/>
        <v>6</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7</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1</v>
      </c>
      <c r="BF598" s="1075"/>
      <c r="BG598" s="1068">
        <f t="shared" si="7"/>
        <v>7</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11</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 customHeight="1">
      <c r="A599" s="4"/>
      <c r="B599" t="s">
        <v>650</v>
      </c>
      <c r="G599" s="1058"/>
      <c r="H599" s="1058"/>
      <c r="I599" s="1058"/>
      <c r="J599" s="1058"/>
      <c r="K599" s="1058"/>
      <c r="L599" s="1058"/>
      <c r="O599" s="42" t="s">
        <v>818</v>
      </c>
      <c r="P599" s="1315"/>
      <c r="Q599" s="1315"/>
      <c r="R599" s="1315"/>
      <c r="T599" s="4"/>
      <c r="U599" t="s">
        <v>650</v>
      </c>
      <c r="Z599" s="1058"/>
      <c r="AA599" s="1058"/>
      <c r="AB599" s="1058"/>
      <c r="AC599" s="1058"/>
      <c r="AD599" s="1058"/>
      <c r="AE599" s="1058"/>
      <c r="AH599" s="42" t="s">
        <v>818</v>
      </c>
      <c r="AI599" s="1315"/>
      <c r="AJ599" s="1315"/>
      <c r="AK599" s="1315"/>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0</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5</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4">
        <f t="shared" si="15"/>
        <v>0</v>
      </c>
      <c r="BF601" s="1075"/>
      <c r="BG601" s="1068">
        <f t="shared" si="7"/>
        <v>0</v>
      </c>
      <c r="BH601" s="1071"/>
      <c r="BI601" s="1074">
        <f t="shared" si="16"/>
        <v>1</v>
      </c>
      <c r="BJ601" s="1075"/>
      <c r="BK601" s="1068">
        <f t="shared" si="8"/>
        <v>5</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4</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5</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1</v>
      </c>
      <c r="BF602" s="1075"/>
      <c r="BG602" s="1068">
        <f t="shared" si="7"/>
        <v>4</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3</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4">
        <f t="shared" si="15"/>
        <v>1</v>
      </c>
      <c r="BF603" s="1075"/>
      <c r="BG603" s="1068">
        <f t="shared" si="7"/>
        <v>3</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6</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 customHeight="1">
      <c r="B607" t="s">
        <v>650</v>
      </c>
      <c r="G607" s="1058"/>
      <c r="H607" s="1058"/>
      <c r="I607" s="1058"/>
      <c r="J607" s="1058"/>
      <c r="K607" s="1058"/>
      <c r="L607" s="1058"/>
      <c r="O607" s="42" t="s">
        <v>818</v>
      </c>
      <c r="P607" s="1315"/>
      <c r="Q607" s="1315"/>
      <c r="R607" s="1315"/>
      <c r="U607" t="s">
        <v>650</v>
      </c>
      <c r="Z607" s="1058"/>
      <c r="AA607" s="1058"/>
      <c r="AB607" s="1058"/>
      <c r="AC607" s="1058"/>
      <c r="AD607" s="1058"/>
      <c r="AE607" s="1058"/>
      <c r="AH607" s="42" t="s">
        <v>818</v>
      </c>
      <c r="AI607" s="1315"/>
      <c r="AJ607" s="1315"/>
      <c r="AK607" s="1315"/>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 customHeight="1">
      <c r="B609" t="s">
        <v>836</v>
      </c>
      <c r="N609" s="1115" t="s">
        <v>482</v>
      </c>
      <c r="O609" s="1115"/>
      <c r="U609" t="s">
        <v>836</v>
      </c>
      <c r="AG609" s="1115" t="s">
        <v>482</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 customHeight="1">
      <c r="C616" s="3" t="s">
        <v>2125</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 customHeight="1">
      <c r="B617" s="838"/>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 customHeight="1">
      <c r="B618" s="1106" t="s">
        <v>2194</v>
      </c>
      <c r="C618" s="1107"/>
      <c r="D618" s="1107"/>
      <c r="E618" s="1107"/>
      <c r="F618" s="1107"/>
      <c r="G618" s="1107"/>
      <c r="H618" s="1107"/>
      <c r="I618" s="1107"/>
      <c r="J618" s="1107"/>
      <c r="K618" s="1107"/>
      <c r="L618" s="1107"/>
      <c r="M618" s="1145" t="s">
        <v>2168</v>
      </c>
      <c r="N618" s="1145"/>
      <c r="O618" s="1145"/>
      <c r="P618" s="1145"/>
      <c r="Q618" s="1131" t="s">
        <v>2198</v>
      </c>
      <c r="R618" s="1132"/>
      <c r="S618" s="1133"/>
      <c r="T618" s="1131" t="s">
        <v>2197</v>
      </c>
      <c r="U618" s="1132"/>
      <c r="V618" s="1133"/>
      <c r="W618" s="1410" t="s">
        <v>740</v>
      </c>
      <c r="X618" s="1410"/>
      <c r="Y618" s="1411"/>
      <c r="Z618" s="1145" t="s">
        <v>2195</v>
      </c>
      <c r="AA618" s="1145"/>
      <c r="AB618" s="1145"/>
      <c r="AC618" s="1401" t="s">
        <v>1990</v>
      </c>
      <c r="AD618" s="1402"/>
      <c r="AE618" s="1403"/>
      <c r="AF618" s="1131" t="s">
        <v>2126</v>
      </c>
      <c r="AG618" s="1132"/>
      <c r="AH618" s="1132"/>
      <c r="AI618" s="1132"/>
      <c r="AJ618" s="1133"/>
      <c r="AK618" s="1281" t="s">
        <v>2127</v>
      </c>
      <c r="AL618" s="1282"/>
      <c r="AM618" s="1282"/>
      <c r="AN618" s="1283"/>
      <c r="AO618" s="1145" t="s">
        <v>741</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12"/>
      <c r="X619" s="1412"/>
      <c r="Y619" s="1413"/>
      <c r="Z619" s="1145"/>
      <c r="AA619" s="1145"/>
      <c r="AB619" s="1145"/>
      <c r="AC619" s="1404"/>
      <c r="AD619" s="1405"/>
      <c r="AE619" s="1406"/>
      <c r="AF619" s="1134"/>
      <c r="AG619" s="1135"/>
      <c r="AH619" s="1135"/>
      <c r="AI619" s="1135"/>
      <c r="AJ619" s="1136"/>
      <c r="AK619" s="1284"/>
      <c r="AL619" s="1285"/>
      <c r="AM619" s="1285"/>
      <c r="AN619" s="1286"/>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4"/>
      <c r="X620" s="1414"/>
      <c r="Y620" s="1415"/>
      <c r="Z620" s="1145"/>
      <c r="AA620" s="1145"/>
      <c r="AB620" s="1145"/>
      <c r="AC620" s="1407"/>
      <c r="AD620" s="1408"/>
      <c r="AE620" s="1409"/>
      <c r="AF620" s="1137"/>
      <c r="AG620" s="1138"/>
      <c r="AH620" s="1138"/>
      <c r="AI620" s="1138"/>
      <c r="AJ620" s="1139"/>
      <c r="AK620" s="1287"/>
      <c r="AL620" s="1288"/>
      <c r="AM620" s="1288"/>
      <c r="AN620" s="1289"/>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 customHeight="1">
      <c r="B621" s="57" t="s">
        <v>900</v>
      </c>
      <c r="C621" s="1097" t="s">
        <v>2419</v>
      </c>
      <c r="D621" s="1097"/>
      <c r="E621" s="1097"/>
      <c r="F621" s="1097"/>
      <c r="G621" s="1097"/>
      <c r="H621" s="1097"/>
      <c r="I621" s="1097"/>
      <c r="J621" s="1097"/>
      <c r="K621" s="1097"/>
      <c r="L621" s="1097"/>
      <c r="M621" s="1277" t="s">
        <v>2178</v>
      </c>
      <c r="N621" s="1277"/>
      <c r="O621" s="1277"/>
      <c r="P621" s="1277"/>
      <c r="Q621" s="1353">
        <f>20*12</f>
        <v>240</v>
      </c>
      <c r="R621" s="1354"/>
      <c r="S621" s="1355"/>
      <c r="T621" s="1380">
        <f>20*12</f>
        <v>240</v>
      </c>
      <c r="U621" s="1381"/>
      <c r="V621" s="1382"/>
      <c r="W621" s="1290">
        <v>8.5300000000000001E-2</v>
      </c>
      <c r="X621" s="1291"/>
      <c r="Y621" s="1292"/>
      <c r="Z621" s="1356" t="s">
        <v>2196</v>
      </c>
      <c r="AA621" s="1357"/>
      <c r="AB621" s="1358"/>
      <c r="AC621" s="1338">
        <v>1</v>
      </c>
      <c r="AD621" s="1144"/>
      <c r="AE621" s="1339"/>
      <c r="AF621" s="1163">
        <f>-PMT(W621/12,T621,AO621)*12</f>
        <v>321015.56515586871</v>
      </c>
      <c r="AG621" s="1164"/>
      <c r="AH621" s="1164"/>
      <c r="AI621" s="1164"/>
      <c r="AJ621" s="1165"/>
      <c r="AK621" s="1278"/>
      <c r="AL621" s="1279"/>
      <c r="AM621" s="1279"/>
      <c r="AN621" s="1280"/>
      <c r="AO621" s="1218">
        <v>3075841.36</v>
      </c>
      <c r="AP621" s="1218"/>
      <c r="AQ621" s="1218"/>
      <c r="AR621" s="1218"/>
      <c r="AS621" s="1218"/>
      <c r="AT621" s="945" t="str">
        <f t="shared" ref="AT621:AT632" si="33">IF(AND(NOT(C620=""),C621="",NOT(C622="")),"!","")</f>
        <v/>
      </c>
      <c r="AU621" s="43"/>
      <c r="AV621" s="43"/>
      <c r="AW621" s="43"/>
      <c r="AX621" s="43"/>
      <c r="AY621" s="43"/>
      <c r="BA621" s="41" t="s">
        <v>1977</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 customHeight="1">
      <c r="B622" s="58" t="s">
        <v>901</v>
      </c>
      <c r="C622" s="1097" t="s">
        <v>2420</v>
      </c>
      <c r="D622" s="1097"/>
      <c r="E622" s="1097"/>
      <c r="F622" s="1097"/>
      <c r="G622" s="1097"/>
      <c r="H622" s="1097"/>
      <c r="I622" s="1097"/>
      <c r="J622" s="1097"/>
      <c r="K622" s="1097"/>
      <c r="L622" s="1097"/>
      <c r="M622" s="1277" t="s">
        <v>2177</v>
      </c>
      <c r="N622" s="1277"/>
      <c r="O622" s="1277"/>
      <c r="P622" s="1277"/>
      <c r="Q622" s="1353"/>
      <c r="R622" s="1354"/>
      <c r="S622" s="1355"/>
      <c r="T622" s="1380">
        <f>55*12</f>
        <v>660</v>
      </c>
      <c r="U622" s="1381"/>
      <c r="V622" s="1382"/>
      <c r="W622" s="1290">
        <v>0.01</v>
      </c>
      <c r="X622" s="1291"/>
      <c r="Y622" s="1292"/>
      <c r="Z622" s="1356" t="s">
        <v>788</v>
      </c>
      <c r="AA622" s="1357"/>
      <c r="AB622" s="1358"/>
      <c r="AC622" s="1338"/>
      <c r="AD622" s="1144"/>
      <c r="AE622" s="1339"/>
      <c r="AF622" s="1163"/>
      <c r="AG622" s="1164"/>
      <c r="AH622" s="1164"/>
      <c r="AI622" s="1164"/>
      <c r="AJ622" s="1165"/>
      <c r="AK622" s="1278"/>
      <c r="AL622" s="1279"/>
      <c r="AM622" s="1279"/>
      <c r="AN622" s="1280"/>
      <c r="AO622" s="1218">
        <v>13497650</v>
      </c>
      <c r="AP622" s="1218"/>
      <c r="AQ622" s="1218"/>
      <c r="AR622" s="1218"/>
      <c r="AS622" s="1218"/>
      <c r="AT622" s="945"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 customHeight="1">
      <c r="B623" s="58" t="s">
        <v>907</v>
      </c>
      <c r="C623" s="1097" t="s">
        <v>2421</v>
      </c>
      <c r="D623" s="1097"/>
      <c r="E623" s="1097"/>
      <c r="F623" s="1097"/>
      <c r="G623" s="1097"/>
      <c r="H623" s="1097"/>
      <c r="I623" s="1097"/>
      <c r="J623" s="1097"/>
      <c r="K623" s="1097"/>
      <c r="L623" s="1097"/>
      <c r="M623" s="1277" t="s">
        <v>2171</v>
      </c>
      <c r="N623" s="1277"/>
      <c r="O623" s="1277"/>
      <c r="P623" s="1277"/>
      <c r="Q623" s="1353"/>
      <c r="R623" s="1354"/>
      <c r="S623" s="1355"/>
      <c r="T623" s="1380"/>
      <c r="U623" s="1381"/>
      <c r="V623" s="1382"/>
      <c r="W623" s="1290"/>
      <c r="X623" s="1291"/>
      <c r="Y623" s="1292"/>
      <c r="Z623" s="1356" t="s">
        <v>1977</v>
      </c>
      <c r="AA623" s="1357"/>
      <c r="AB623" s="1358"/>
      <c r="AC623" s="1338"/>
      <c r="AD623" s="1144"/>
      <c r="AE623" s="1339"/>
      <c r="AF623" s="1163"/>
      <c r="AG623" s="1164"/>
      <c r="AH623" s="1164"/>
      <c r="AI623" s="1164"/>
      <c r="AJ623" s="1165"/>
      <c r="AK623" s="1278"/>
      <c r="AL623" s="1279"/>
      <c r="AM623" s="1279"/>
      <c r="AN623" s="1280"/>
      <c r="AO623" s="1218">
        <v>48534.42</v>
      </c>
      <c r="AP623" s="1218"/>
      <c r="AQ623" s="1218"/>
      <c r="AR623" s="1218"/>
      <c r="AS623" s="1218"/>
      <c r="AT623" s="945"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 customHeight="1">
      <c r="B624" s="58" t="s">
        <v>431</v>
      </c>
      <c r="C624" s="1097"/>
      <c r="D624" s="1097"/>
      <c r="E624" s="1097"/>
      <c r="F624" s="1097"/>
      <c r="G624" s="1097"/>
      <c r="H624" s="1097"/>
      <c r="I624" s="1097"/>
      <c r="J624" s="1097"/>
      <c r="K624" s="1097"/>
      <c r="L624" s="1097"/>
      <c r="M624" s="1277" t="s">
        <v>1977</v>
      </c>
      <c r="N624" s="1277"/>
      <c r="O624" s="1277"/>
      <c r="P624" s="1277"/>
      <c r="Q624" s="1353"/>
      <c r="R624" s="1354"/>
      <c r="S624" s="1355"/>
      <c r="T624" s="1380"/>
      <c r="U624" s="1381"/>
      <c r="V624" s="1382"/>
      <c r="W624" s="1290"/>
      <c r="X624" s="1291"/>
      <c r="Y624" s="1292"/>
      <c r="Z624" s="1356" t="s">
        <v>1977</v>
      </c>
      <c r="AA624" s="1357"/>
      <c r="AB624" s="1358"/>
      <c r="AC624" s="1338"/>
      <c r="AD624" s="1144"/>
      <c r="AE624" s="1339"/>
      <c r="AF624" s="1163"/>
      <c r="AG624" s="1164"/>
      <c r="AH624" s="1164"/>
      <c r="AI624" s="1164"/>
      <c r="AJ624" s="1165"/>
      <c r="AK624" s="1278"/>
      <c r="AL624" s="1279"/>
      <c r="AM624" s="1279"/>
      <c r="AN624" s="1280"/>
      <c r="AO624" s="1218"/>
      <c r="AP624" s="1218"/>
      <c r="AQ624" s="1218"/>
      <c r="AR624" s="1218"/>
      <c r="AS624" s="1218"/>
      <c r="AT624" s="945" t="str">
        <f t="shared" si="33"/>
        <v/>
      </c>
      <c r="AU624" s="43"/>
      <c r="AV624" s="43"/>
      <c r="AW624" s="43"/>
      <c r="AX624" s="43"/>
      <c r="AY624" s="43"/>
      <c r="AZ624" s="43"/>
      <c r="BA624" s="41" t="s">
        <v>2196</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 customHeight="1">
      <c r="B625" s="58" t="s">
        <v>171</v>
      </c>
      <c r="C625" s="1097"/>
      <c r="D625" s="1097"/>
      <c r="E625" s="1097"/>
      <c r="F625" s="1097"/>
      <c r="G625" s="1097"/>
      <c r="H625" s="1097"/>
      <c r="I625" s="1097"/>
      <c r="J625" s="1097"/>
      <c r="K625" s="1097"/>
      <c r="L625" s="1097"/>
      <c r="M625" s="1277" t="s">
        <v>1977</v>
      </c>
      <c r="N625" s="1277"/>
      <c r="O625" s="1277"/>
      <c r="P625" s="1277"/>
      <c r="Q625" s="1353"/>
      <c r="R625" s="1354"/>
      <c r="S625" s="1355"/>
      <c r="T625" s="1380"/>
      <c r="U625" s="1381"/>
      <c r="V625" s="1382"/>
      <c r="W625" s="1290"/>
      <c r="X625" s="1291"/>
      <c r="Y625" s="1292"/>
      <c r="Z625" s="1356" t="s">
        <v>1977</v>
      </c>
      <c r="AA625" s="1357"/>
      <c r="AB625" s="1358"/>
      <c r="AC625" s="1338"/>
      <c r="AD625" s="1144"/>
      <c r="AE625" s="1339"/>
      <c r="AF625" s="1163"/>
      <c r="AG625" s="1164"/>
      <c r="AH625" s="1164"/>
      <c r="AI625" s="1164"/>
      <c r="AJ625" s="1165"/>
      <c r="AK625" s="1278"/>
      <c r="AL625" s="1279"/>
      <c r="AM625" s="1279"/>
      <c r="AN625" s="1280"/>
      <c r="AO625" s="1218"/>
      <c r="AP625" s="1218"/>
      <c r="AQ625" s="1218"/>
      <c r="AR625" s="1218"/>
      <c r="AS625" s="1218"/>
      <c r="AT625" s="945" t="str">
        <f t="shared" si="33"/>
        <v/>
      </c>
      <c r="AU625" s="43"/>
      <c r="AV625" s="43"/>
      <c r="AW625" s="43"/>
      <c r="AX625" s="43"/>
      <c r="AY625" s="43"/>
      <c r="AZ625" s="43"/>
      <c r="BA625" s="41" t="s">
        <v>499</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 customHeight="1">
      <c r="B626" s="58" t="s">
        <v>434</v>
      </c>
      <c r="C626" s="1097"/>
      <c r="D626" s="1097"/>
      <c r="E626" s="1097"/>
      <c r="F626" s="1097"/>
      <c r="G626" s="1097"/>
      <c r="H626" s="1097"/>
      <c r="I626" s="1097"/>
      <c r="J626" s="1097"/>
      <c r="K626" s="1097"/>
      <c r="L626" s="1097"/>
      <c r="M626" s="1277" t="s">
        <v>1977</v>
      </c>
      <c r="N626" s="1277"/>
      <c r="O626" s="1277"/>
      <c r="P626" s="1277"/>
      <c r="Q626" s="1353"/>
      <c r="R626" s="1354"/>
      <c r="S626" s="1355"/>
      <c r="T626" s="1380"/>
      <c r="U626" s="1381"/>
      <c r="V626" s="1382"/>
      <c r="W626" s="1290"/>
      <c r="X626" s="1291"/>
      <c r="Y626" s="1292"/>
      <c r="Z626" s="1356" t="s">
        <v>1977</v>
      </c>
      <c r="AA626" s="1357"/>
      <c r="AB626" s="1358"/>
      <c r="AC626" s="1338"/>
      <c r="AD626" s="1144"/>
      <c r="AE626" s="1339"/>
      <c r="AF626" s="1163"/>
      <c r="AG626" s="1164"/>
      <c r="AH626" s="1164"/>
      <c r="AI626" s="1164"/>
      <c r="AJ626" s="1165"/>
      <c r="AK626" s="1278"/>
      <c r="AL626" s="1279"/>
      <c r="AM626" s="1279"/>
      <c r="AN626" s="1280"/>
      <c r="AO626" s="1218"/>
      <c r="AP626" s="1218"/>
      <c r="AQ626" s="1218"/>
      <c r="AR626" s="1218"/>
      <c r="AS626" s="1218"/>
      <c r="AT626" s="945"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3"/>
      <c r="BP626" s="1303"/>
      <c r="BQ626" s="1303"/>
      <c r="BR626" s="1075"/>
      <c r="BS626" s="1074">
        <f t="shared" ref="BS626" si="34">SUM(BS591:BW625)</f>
        <v>24</v>
      </c>
      <c r="BT626" s="1303"/>
      <c r="BU626" s="1303"/>
      <c r="BV626" s="1303"/>
      <c r="BW626" s="1075"/>
      <c r="BX626" s="1074">
        <f t="shared" ref="BX626" si="35">SUM(BX591:CB625)</f>
        <v>29</v>
      </c>
      <c r="BY626" s="1303"/>
      <c r="BZ626" s="1303"/>
      <c r="CA626" s="1303"/>
      <c r="CB626" s="1075"/>
      <c r="CC626" s="1074">
        <f t="shared" ref="CC626" si="36">SUM(CC591:CG625)</f>
        <v>18</v>
      </c>
      <c r="CD626" s="1303"/>
      <c r="CE626" s="1303"/>
      <c r="CF626" s="1303"/>
      <c r="CG626" s="1075"/>
      <c r="CH626" s="1074">
        <f t="shared" ref="CH626" si="37">SUM(CH591:CL625)</f>
        <v>0</v>
      </c>
      <c r="CI626" s="1303"/>
      <c r="CJ626" s="1303"/>
      <c r="CK626" s="1303"/>
      <c r="CL626" s="1075"/>
      <c r="CM626" s="1074">
        <f t="shared" ref="CM626" si="38">SUM(CM591:CQ625)</f>
        <v>0</v>
      </c>
      <c r="CN626" s="1303"/>
      <c r="CO626" s="1303"/>
      <c r="CP626" s="1303"/>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 customHeight="1" thickBot="1">
      <c r="B627" s="58" t="s">
        <v>742</v>
      </c>
      <c r="C627" s="1097"/>
      <c r="D627" s="1097"/>
      <c r="E627" s="1097"/>
      <c r="F627" s="1097"/>
      <c r="G627" s="1097"/>
      <c r="H627" s="1097"/>
      <c r="I627" s="1097"/>
      <c r="J627" s="1097"/>
      <c r="K627" s="1097"/>
      <c r="L627" s="1097"/>
      <c r="M627" s="1277" t="s">
        <v>1977</v>
      </c>
      <c r="N627" s="1277"/>
      <c r="O627" s="1277"/>
      <c r="P627" s="1277"/>
      <c r="Q627" s="1353"/>
      <c r="R627" s="1354"/>
      <c r="S627" s="1355"/>
      <c r="T627" s="1380"/>
      <c r="U627" s="1381"/>
      <c r="V627" s="1382"/>
      <c r="W627" s="1290"/>
      <c r="X627" s="1291"/>
      <c r="Y627" s="1292"/>
      <c r="Z627" s="1356" t="s">
        <v>1977</v>
      </c>
      <c r="AA627" s="1357"/>
      <c r="AB627" s="1358"/>
      <c r="AC627" s="1338"/>
      <c r="AD627" s="1144"/>
      <c r="AE627" s="1339"/>
      <c r="AF627" s="1163"/>
      <c r="AG627" s="1164"/>
      <c r="AH627" s="1164"/>
      <c r="AI627" s="1164"/>
      <c r="AJ627" s="1165"/>
      <c r="AK627" s="1278"/>
      <c r="AL627" s="1279"/>
      <c r="AM627" s="1279"/>
      <c r="AN627" s="1280"/>
      <c r="AO627" s="1218"/>
      <c r="AP627" s="1218"/>
      <c r="AQ627" s="1218"/>
      <c r="AR627" s="1218"/>
      <c r="AS627" s="1218"/>
      <c r="AT627" s="945" t="str">
        <f t="shared" si="33"/>
        <v/>
      </c>
      <c r="AU627" s="43"/>
      <c r="AV627" s="43"/>
      <c r="AW627" s="43"/>
      <c r="AX627" s="43"/>
      <c r="AY627" s="43"/>
      <c r="AZ627" s="43"/>
      <c r="BE627" s="41"/>
      <c r="BF627" s="41"/>
      <c r="BG627" s="1074">
        <f>SUM(BG592:BH626)</f>
        <v>29</v>
      </c>
      <c r="BH627" s="1075"/>
      <c r="BI627" s="41"/>
      <c r="BJ627" s="41"/>
      <c r="BK627" s="1074">
        <f>SUM(BK592:BL626)</f>
        <v>15</v>
      </c>
      <c r="BL627" s="1075"/>
      <c r="BN627" s="41" t="s">
        <v>1723</v>
      </c>
      <c r="BO627" s="41"/>
      <c r="BP627" s="41"/>
      <c r="BQ627" s="41"/>
      <c r="BR627" s="467">
        <f>BN626*1</f>
        <v>0</v>
      </c>
      <c r="BS627" s="41"/>
      <c r="BT627" s="41"/>
      <c r="BU627" s="41"/>
      <c r="BV627" s="41"/>
      <c r="BW627" s="467">
        <f>BS626*1</f>
        <v>24</v>
      </c>
      <c r="BX627" s="41"/>
      <c r="BY627" s="41"/>
      <c r="BZ627" s="41"/>
      <c r="CA627" s="41"/>
      <c r="CB627" s="467">
        <f>BX626*2</f>
        <v>58</v>
      </c>
      <c r="CC627" s="41"/>
      <c r="CD627" s="41"/>
      <c r="CE627" s="41"/>
      <c r="CF627" s="41"/>
      <c r="CG627" s="467">
        <f>CC626*3</f>
        <v>54</v>
      </c>
      <c r="CH627" s="41"/>
      <c r="CI627" s="41"/>
      <c r="CJ627" s="41"/>
      <c r="CK627" s="41"/>
      <c r="CL627" s="467">
        <f>CH626*4</f>
        <v>0</v>
      </c>
      <c r="CM627" s="41"/>
      <c r="CN627" s="41"/>
      <c r="CO627" s="41"/>
      <c r="CP627" s="41"/>
      <c r="CQ627" s="466">
        <f>CM626*5</f>
        <v>0</v>
      </c>
      <c r="CS627" s="1074">
        <f>SUM(CS592:CW626)</f>
        <v>0</v>
      </c>
      <c r="CT627" s="1303"/>
      <c r="CU627" s="1303"/>
      <c r="CV627" s="1303"/>
      <c r="CW627" s="1075"/>
      <c r="CX627" s="1074">
        <f>SUM(CX592:DB626)</f>
        <v>5</v>
      </c>
      <c r="CY627" s="1303"/>
      <c r="CZ627" s="1303"/>
      <c r="DA627" s="1303"/>
      <c r="DB627" s="1075"/>
      <c r="DC627" s="1074">
        <f>SUM(DC592:DG626)</f>
        <v>5</v>
      </c>
      <c r="DD627" s="1303"/>
      <c r="DE627" s="1303"/>
      <c r="DF627" s="1303"/>
      <c r="DG627" s="1075"/>
      <c r="DH627" s="1074">
        <f>SUM(DH592:DL626)</f>
        <v>5</v>
      </c>
      <c r="DI627" s="1303"/>
      <c r="DJ627" s="1303"/>
      <c r="DK627" s="1303"/>
      <c r="DL627" s="1075"/>
      <c r="DM627" s="1074">
        <f>SUM(DM592:DQ626)</f>
        <v>0</v>
      </c>
      <c r="DN627" s="1303"/>
      <c r="DO627" s="1303"/>
      <c r="DP627" s="1303"/>
      <c r="DQ627" s="1075"/>
      <c r="DR627" s="1074">
        <f>SUM(DR592:DV626)</f>
        <v>0</v>
      </c>
      <c r="DS627" s="1303"/>
      <c r="DT627" s="1303"/>
      <c r="DU627" s="1303"/>
      <c r="DV627" s="1075"/>
    </row>
    <row r="628" spans="1:126" ht="12.9" customHeight="1" thickBot="1">
      <c r="B628" s="58" t="s">
        <v>743</v>
      </c>
      <c r="C628" s="1097"/>
      <c r="D628" s="1097"/>
      <c r="E628" s="1097"/>
      <c r="F628" s="1097"/>
      <c r="G628" s="1097"/>
      <c r="H628" s="1097"/>
      <c r="I628" s="1097"/>
      <c r="J628" s="1097"/>
      <c r="K628" s="1097"/>
      <c r="L628" s="1097"/>
      <c r="M628" s="1277" t="s">
        <v>1977</v>
      </c>
      <c r="N628" s="1277"/>
      <c r="O628" s="1277"/>
      <c r="P628" s="1277"/>
      <c r="Q628" s="1353"/>
      <c r="R628" s="1354"/>
      <c r="S628" s="1355"/>
      <c r="T628" s="1380"/>
      <c r="U628" s="1381"/>
      <c r="V628" s="1382"/>
      <c r="W628" s="1290"/>
      <c r="X628" s="1291"/>
      <c r="Y628" s="1292"/>
      <c r="Z628" s="1356" t="s">
        <v>1977</v>
      </c>
      <c r="AA628" s="1357"/>
      <c r="AB628" s="1358"/>
      <c r="AC628" s="1338"/>
      <c r="AD628" s="1144"/>
      <c r="AE628" s="1339"/>
      <c r="AF628" s="1163"/>
      <c r="AG628" s="1164"/>
      <c r="AH628" s="1164"/>
      <c r="AI628" s="1164"/>
      <c r="AJ628" s="1165"/>
      <c r="AK628" s="1278"/>
      <c r="AL628" s="1279"/>
      <c r="AM628" s="1279"/>
      <c r="AN628" s="1280"/>
      <c r="AO628" s="1218"/>
      <c r="AP628" s="1218"/>
      <c r="AQ628" s="1218"/>
      <c r="AR628" s="1218"/>
      <c r="AS628" s="1218"/>
      <c r="AT628" s="945"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136</v>
      </c>
      <c r="CR628" s="41"/>
      <c r="CS628" s="41"/>
    </row>
    <row r="629" spans="1:126" ht="12.9" customHeight="1">
      <c r="B629" s="58" t="s">
        <v>546</v>
      </c>
      <c r="C629" s="1097"/>
      <c r="D629" s="1097"/>
      <c r="E629" s="1097"/>
      <c r="F629" s="1097"/>
      <c r="G629" s="1097"/>
      <c r="H629" s="1097"/>
      <c r="I629" s="1097"/>
      <c r="J629" s="1097"/>
      <c r="K629" s="1097"/>
      <c r="L629" s="1097"/>
      <c r="M629" s="1277" t="s">
        <v>1977</v>
      </c>
      <c r="N629" s="1277"/>
      <c r="O629" s="1277"/>
      <c r="P629" s="1277"/>
      <c r="Q629" s="1353"/>
      <c r="R629" s="1354"/>
      <c r="S629" s="1355"/>
      <c r="T629" s="1380"/>
      <c r="U629" s="1381"/>
      <c r="V629" s="1382"/>
      <c r="W629" s="1290"/>
      <c r="X629" s="1291"/>
      <c r="Y629" s="1292"/>
      <c r="Z629" s="1356" t="s">
        <v>1977</v>
      </c>
      <c r="AA629" s="1357"/>
      <c r="AB629" s="1358"/>
      <c r="AC629" s="1338"/>
      <c r="AD629" s="1144"/>
      <c r="AE629" s="1339"/>
      <c r="AF629" s="1163"/>
      <c r="AG629" s="1164"/>
      <c r="AH629" s="1164"/>
      <c r="AI629" s="1164"/>
      <c r="AJ629" s="1165"/>
      <c r="AK629" s="1278"/>
      <c r="AL629" s="1279"/>
      <c r="AM629" s="1279"/>
      <c r="AN629" s="1280"/>
      <c r="AO629" s="1218"/>
      <c r="AP629" s="1218"/>
      <c r="AQ629" s="1218"/>
      <c r="AR629" s="1218"/>
      <c r="AS629" s="1218"/>
      <c r="AT629" s="945"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1</v>
      </c>
      <c r="BY629" s="1069"/>
      <c r="BZ629" s="1069"/>
      <c r="CA629" s="1069"/>
      <c r="CB629" s="1071"/>
      <c r="CC629" s="1068">
        <f>IF(J752="3 Bedrooms",O752,0)</f>
        <v>0</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 customHeight="1">
      <c r="B630" s="58" t="s">
        <v>174</v>
      </c>
      <c r="C630" s="1097"/>
      <c r="D630" s="1097"/>
      <c r="E630" s="1097"/>
      <c r="F630" s="1097"/>
      <c r="G630" s="1097"/>
      <c r="H630" s="1097"/>
      <c r="I630" s="1097"/>
      <c r="J630" s="1097"/>
      <c r="K630" s="1097"/>
      <c r="L630" s="1097"/>
      <c r="M630" s="1277" t="s">
        <v>1977</v>
      </c>
      <c r="N630" s="1277"/>
      <c r="O630" s="1277"/>
      <c r="P630" s="1277"/>
      <c r="Q630" s="1353"/>
      <c r="R630" s="1354"/>
      <c r="S630" s="1355"/>
      <c r="T630" s="1380"/>
      <c r="U630" s="1381"/>
      <c r="V630" s="1382"/>
      <c r="W630" s="1290"/>
      <c r="X630" s="1291"/>
      <c r="Y630" s="1292"/>
      <c r="Z630" s="1356" t="s">
        <v>1977</v>
      </c>
      <c r="AA630" s="1357"/>
      <c r="AB630" s="1358"/>
      <c r="AC630" s="1338"/>
      <c r="AD630" s="1144"/>
      <c r="AE630" s="1339"/>
      <c r="AF630" s="1163"/>
      <c r="AG630" s="1164"/>
      <c r="AH630" s="1164"/>
      <c r="AI630" s="1164"/>
      <c r="AJ630" s="1165"/>
      <c r="AK630" s="1278"/>
      <c r="AL630" s="1279"/>
      <c r="AM630" s="1279"/>
      <c r="AN630" s="1280"/>
      <c r="AO630" s="1218"/>
      <c r="AP630" s="1218"/>
      <c r="AQ630" s="1218"/>
      <c r="AR630" s="1218"/>
      <c r="AS630" s="1218"/>
      <c r="AT630" s="945"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 customHeight="1">
      <c r="B631" s="58" t="s">
        <v>32</v>
      </c>
      <c r="C631" s="1097"/>
      <c r="D631" s="1097"/>
      <c r="E631" s="1097"/>
      <c r="F631" s="1097"/>
      <c r="G631" s="1097"/>
      <c r="H631" s="1097"/>
      <c r="I631" s="1097"/>
      <c r="J631" s="1097"/>
      <c r="K631" s="1097"/>
      <c r="L631" s="1097"/>
      <c r="M631" s="1277" t="s">
        <v>1977</v>
      </c>
      <c r="N631" s="1277"/>
      <c r="O631" s="1277"/>
      <c r="P631" s="1277"/>
      <c r="Q631" s="1353"/>
      <c r="R631" s="1354"/>
      <c r="S631" s="1355"/>
      <c r="T631" s="1380"/>
      <c r="U631" s="1381"/>
      <c r="V631" s="1382"/>
      <c r="W631" s="1290"/>
      <c r="X631" s="1291"/>
      <c r="Y631" s="1292"/>
      <c r="Z631" s="1356" t="s">
        <v>1977</v>
      </c>
      <c r="AA631" s="1357"/>
      <c r="AB631" s="1358"/>
      <c r="AC631" s="1338"/>
      <c r="AD631" s="1144"/>
      <c r="AE631" s="1339"/>
      <c r="AF631" s="1163"/>
      <c r="AG631" s="1164"/>
      <c r="AH631" s="1164"/>
      <c r="AI631" s="1164"/>
      <c r="AJ631" s="1165"/>
      <c r="AK631" s="1278"/>
      <c r="AL631" s="1279"/>
      <c r="AM631" s="1279"/>
      <c r="AN631" s="1280"/>
      <c r="AO631" s="1218"/>
      <c r="AP631" s="1218"/>
      <c r="AQ631" s="1218"/>
      <c r="AR631" s="1218"/>
      <c r="AS631" s="1218"/>
      <c r="AT631" s="945"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 customHeight="1">
      <c r="B632" s="58" t="s">
        <v>33</v>
      </c>
      <c r="C632" s="1097"/>
      <c r="D632" s="1097"/>
      <c r="E632" s="1097"/>
      <c r="F632" s="1097"/>
      <c r="G632" s="1097"/>
      <c r="H632" s="1097"/>
      <c r="I632" s="1097"/>
      <c r="J632" s="1097"/>
      <c r="K632" s="1097"/>
      <c r="L632" s="1097"/>
      <c r="M632" s="1277" t="s">
        <v>1977</v>
      </c>
      <c r="N632" s="1277"/>
      <c r="O632" s="1277"/>
      <c r="P632" s="1277"/>
      <c r="Q632" s="1353"/>
      <c r="R632" s="1354"/>
      <c r="S632" s="1355"/>
      <c r="T632" s="1380"/>
      <c r="U632" s="1381"/>
      <c r="V632" s="1382"/>
      <c r="W632" s="1290"/>
      <c r="X632" s="1291"/>
      <c r="Y632" s="1292"/>
      <c r="Z632" s="1356" t="s">
        <v>1977</v>
      </c>
      <c r="AA632" s="1357"/>
      <c r="AB632" s="1358"/>
      <c r="AC632" s="1338"/>
      <c r="AD632" s="1144"/>
      <c r="AE632" s="1339"/>
      <c r="AF632" s="1163"/>
      <c r="AG632" s="1164"/>
      <c r="AH632" s="1164"/>
      <c r="AI632" s="1164"/>
      <c r="AJ632" s="1165"/>
      <c r="AK632" s="1278"/>
      <c r="AL632" s="1279"/>
      <c r="AM632" s="1279"/>
      <c r="AN632" s="1280"/>
      <c r="AO632" s="1218"/>
      <c r="AP632" s="1218"/>
      <c r="AQ632" s="1218"/>
      <c r="AR632" s="1218"/>
      <c r="AS632" s="1218"/>
      <c r="AT632" s="945"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16622025.779999999</v>
      </c>
      <c r="AP633" s="1227"/>
      <c r="AQ633" s="1227"/>
      <c r="AR633" s="1227"/>
      <c r="AS633" s="1228"/>
      <c r="AT633" s="43"/>
      <c r="AU633" s="43"/>
      <c r="AV633" s="43"/>
      <c r="AW633" s="43"/>
      <c r="AX633" s="43"/>
      <c r="AY633" s="43"/>
      <c r="AZ633" s="43"/>
      <c r="BN633" s="1504">
        <f>SUM(BN629:BR632)</f>
        <v>0</v>
      </c>
      <c r="BO633" s="1505"/>
      <c r="BP633" s="1505"/>
      <c r="BQ633" s="1505"/>
      <c r="BR633" s="1506"/>
      <c r="BS633" s="1504">
        <f>SUM(BS629:BW632)</f>
        <v>0</v>
      </c>
      <c r="BT633" s="1505"/>
      <c r="BU633" s="1505"/>
      <c r="BV633" s="1505"/>
      <c r="BW633" s="1506"/>
      <c r="BX633" s="1504">
        <f>SUM(BX629:CB632)</f>
        <v>1</v>
      </c>
      <c r="BY633" s="1505"/>
      <c r="BZ633" s="1505"/>
      <c r="CA633" s="1505"/>
      <c r="CB633" s="1506"/>
      <c r="CC633" s="1504">
        <f>SUM(CC629:CG632)</f>
        <v>0</v>
      </c>
      <c r="CD633" s="1505"/>
      <c r="CE633" s="1505"/>
      <c r="CF633" s="1505"/>
      <c r="CG633" s="1506"/>
      <c r="CH633" s="1504">
        <f>SUM(CH629:CL632)</f>
        <v>0</v>
      </c>
      <c r="CI633" s="1505"/>
      <c r="CJ633" s="1505"/>
      <c r="CK633" s="1505"/>
      <c r="CL633" s="1506"/>
      <c r="CM633" s="1504">
        <f>SUM(CM629:CQ632)</f>
        <v>0</v>
      </c>
      <c r="CN633" s="1505"/>
      <c r="CO633" s="1505"/>
      <c r="CP633" s="1505"/>
      <c r="CQ633" s="1506"/>
      <c r="CS633" s="467">
        <f>BN633+BS633+BX633+CC633+CH633+CM633</f>
        <v>1</v>
      </c>
      <c r="CT633" s="63" t="s">
        <v>1981</v>
      </c>
      <c r="CU633" s="41"/>
    </row>
    <row r="634" spans="1:126" ht="12.9"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v>26666656.739999998</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99"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400"/>
      <c r="AO635" s="1226">
        <f>AO633+AO634</f>
        <v>43288682.519999996</v>
      </c>
      <c r="AP635" s="1227"/>
      <c r="AQ635" s="1227"/>
      <c r="AR635" s="1227"/>
      <c r="AS635" s="1228"/>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 customHeight="1">
      <c r="A637" s="61" t="s">
        <v>900</v>
      </c>
      <c r="B637" t="s">
        <v>82</v>
      </c>
      <c r="G637" s="1184" t="str">
        <f>C621</f>
        <v>Perm Loan- Citi Bank</v>
      </c>
      <c r="H637" s="1184"/>
      <c r="I637" s="1184"/>
      <c r="J637" s="1184"/>
      <c r="K637" s="1184"/>
      <c r="L637" s="1184"/>
      <c r="M637" s="1184"/>
      <c r="N637" s="1184"/>
      <c r="O637" s="1184"/>
      <c r="P637" s="1184"/>
      <c r="Q637" s="1184"/>
      <c r="R637" s="1184"/>
      <c r="S637" s="12"/>
      <c r="T637" s="61" t="s">
        <v>901</v>
      </c>
      <c r="U637" t="s">
        <v>82</v>
      </c>
      <c r="Z637" s="1184" t="str">
        <f>C622</f>
        <v>CDBG-DRMHP</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 customHeight="1">
      <c r="A638" s="4"/>
      <c r="B638" t="s">
        <v>372</v>
      </c>
      <c r="G638" s="1056" t="s">
        <v>2412</v>
      </c>
      <c r="H638" s="1056"/>
      <c r="I638" s="1056"/>
      <c r="J638" s="1056"/>
      <c r="K638" s="1056"/>
      <c r="L638" s="1056"/>
      <c r="M638" s="1056"/>
      <c r="N638" s="1056"/>
      <c r="O638" s="1056"/>
      <c r="P638" s="1056"/>
      <c r="Q638" s="1056"/>
      <c r="R638" s="1056"/>
      <c r="S638" s="12"/>
      <c r="T638" s="4"/>
      <c r="U638" t="s">
        <v>372</v>
      </c>
      <c r="Z638" s="1056" t="s">
        <v>2423</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 customHeight="1">
      <c r="A639" s="4"/>
      <c r="B639" t="s">
        <v>430</v>
      </c>
      <c r="G639" s="1056" t="s">
        <v>2413</v>
      </c>
      <c r="H639" s="1056"/>
      <c r="I639" s="1056"/>
      <c r="J639" s="1056"/>
      <c r="K639" s="1056"/>
      <c r="L639" s="1056"/>
      <c r="M639" s="1056"/>
      <c r="N639" s="1056"/>
      <c r="O639" s="1056"/>
      <c r="P639" s="1056"/>
      <c r="Q639" s="1056"/>
      <c r="R639" s="1056"/>
      <c r="T639" s="4"/>
      <c r="U639" t="s">
        <v>430</v>
      </c>
      <c r="Z639" s="1054" t="s">
        <v>2424</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 customHeight="1">
      <c r="A640" s="4"/>
      <c r="B640" t="s">
        <v>833</v>
      </c>
      <c r="G640" s="1056" t="s">
        <v>2422</v>
      </c>
      <c r="H640" s="1056"/>
      <c r="I640" s="1056"/>
      <c r="J640" s="1056"/>
      <c r="K640" s="1056"/>
      <c r="L640" s="1056"/>
      <c r="M640" s="1056"/>
      <c r="N640" s="1056"/>
      <c r="O640" s="1056"/>
      <c r="P640" s="1056"/>
      <c r="Q640" s="1056"/>
      <c r="R640" s="1056"/>
      <c r="S640" s="12"/>
      <c r="T640" s="4"/>
      <c r="U640" t="s">
        <v>833</v>
      </c>
      <c r="Z640" s="1054" t="s">
        <v>2425</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 customHeight="1">
      <c r="A641" s="4"/>
      <c r="B641" t="s">
        <v>650</v>
      </c>
      <c r="G641" s="1058" t="s">
        <v>2415</v>
      </c>
      <c r="H641" s="1058"/>
      <c r="I641" s="1058"/>
      <c r="J641" s="1058"/>
      <c r="K641" s="1058"/>
      <c r="L641" s="1058"/>
      <c r="O641" s="42" t="s">
        <v>818</v>
      </c>
      <c r="P641" s="1315"/>
      <c r="Q641" s="1315"/>
      <c r="R641" s="1315"/>
      <c r="S641" s="14"/>
      <c r="T641" s="4"/>
      <c r="U641" t="s">
        <v>650</v>
      </c>
      <c r="Z641" s="1379" t="s">
        <v>2426</v>
      </c>
      <c r="AA641" s="1058"/>
      <c r="AB641" s="1058"/>
      <c r="AC641" s="1058"/>
      <c r="AD641" s="1058"/>
      <c r="AE641" s="1058"/>
      <c r="AH641" s="42" t="s">
        <v>818</v>
      </c>
      <c r="AI641" s="1315"/>
      <c r="AJ641" s="1315"/>
      <c r="AK641" s="1315"/>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 customHeight="1">
      <c r="A642" s="4"/>
      <c r="B642" t="s">
        <v>834</v>
      </c>
      <c r="H642" s="1056" t="s">
        <v>2178</v>
      </c>
      <c r="I642" s="1056"/>
      <c r="J642" s="1056"/>
      <c r="K642" s="1056"/>
      <c r="L642" s="1056"/>
      <c r="M642" s="1056"/>
      <c r="N642" s="1056"/>
      <c r="O642" s="1056"/>
      <c r="P642" s="1056"/>
      <c r="Q642" s="1056"/>
      <c r="R642" s="1056"/>
      <c r="S642" s="12"/>
      <c r="T642" s="4"/>
      <c r="U642" t="s">
        <v>834</v>
      </c>
      <c r="AA642" s="1056" t="s">
        <v>2177</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 customHeight="1">
      <c r="A643" s="5"/>
      <c r="B643" t="s">
        <v>836</v>
      </c>
      <c r="N643" s="1115" t="s">
        <v>108</v>
      </c>
      <c r="O643" s="1115"/>
      <c r="T643" s="4"/>
      <c r="U643" t="s">
        <v>836</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 customHeight="1">
      <c r="A645" s="61" t="s">
        <v>907</v>
      </c>
      <c r="B645" t="s">
        <v>82</v>
      </c>
      <c r="G645" s="1184" t="str">
        <f>C623</f>
        <v>Deferred Developer fee</v>
      </c>
      <c r="H645" s="1184"/>
      <c r="I645" s="1184"/>
      <c r="J645" s="1184"/>
      <c r="K645" s="1184"/>
      <c r="L645" s="1184"/>
      <c r="M645" s="1184"/>
      <c r="N645" s="1184"/>
      <c r="O645" s="1184"/>
      <c r="P645" s="1184"/>
      <c r="Q645" s="1184"/>
      <c r="R645" s="1184"/>
      <c r="T645" s="61" t="s">
        <v>431</v>
      </c>
      <c r="U645" t="s">
        <v>82</v>
      </c>
      <c r="Z645" s="1184">
        <f>C624</f>
        <v>0</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4">
        <f>SUM(BN635:BR644)</f>
        <v>0</v>
      </c>
      <c r="BO645" s="1505"/>
      <c r="BP645" s="1505"/>
      <c r="BQ645" s="1505"/>
      <c r="BR645" s="1506"/>
      <c r="BS645" s="1504">
        <f>SUM(BS635:BW644)</f>
        <v>0</v>
      </c>
      <c r="BT645" s="1505"/>
      <c r="BU645" s="1505"/>
      <c r="BV645" s="1505"/>
      <c r="BW645" s="1506"/>
      <c r="BX645" s="1504">
        <f>SUM(BX635:CB644)</f>
        <v>0</v>
      </c>
      <c r="BY645" s="1505"/>
      <c r="BZ645" s="1505"/>
      <c r="CA645" s="1505"/>
      <c r="CB645" s="1506"/>
      <c r="CC645" s="1504">
        <f>SUM(CC635:CG644)</f>
        <v>0</v>
      </c>
      <c r="CD645" s="1505"/>
      <c r="CE645" s="1505"/>
      <c r="CF645" s="1505"/>
      <c r="CG645" s="1506"/>
      <c r="CH645" s="1504">
        <f>SUM(CH635:CL644)</f>
        <v>0</v>
      </c>
      <c r="CI645" s="1505"/>
      <c r="CJ645" s="1505"/>
      <c r="CK645" s="1505"/>
      <c r="CL645" s="1506"/>
      <c r="CM645" s="1504">
        <f>SUM(CM635:CQ644)</f>
        <v>0</v>
      </c>
      <c r="CN645" s="1505"/>
      <c r="CO645" s="1505"/>
      <c r="CP645" s="1505"/>
      <c r="CQ645" s="1506"/>
      <c r="CR645" s="41"/>
      <c r="CS645" s="41"/>
    </row>
    <row r="646" spans="1:97" ht="12.9" customHeight="1" thickBot="1">
      <c r="A646" s="4"/>
      <c r="B646" t="s">
        <v>372</v>
      </c>
      <c r="G646" s="1056" t="s">
        <v>2418</v>
      </c>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4" t="s">
        <v>2472</v>
      </c>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054" t="s">
        <v>2343</v>
      </c>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379" t="s">
        <v>2344</v>
      </c>
      <c r="H649" s="1058"/>
      <c r="I649" s="1058"/>
      <c r="J649" s="1058"/>
      <c r="K649" s="1058"/>
      <c r="L649" s="1058"/>
      <c r="O649" s="42" t="s">
        <v>818</v>
      </c>
      <c r="P649" s="1315"/>
      <c r="Q649" s="1315"/>
      <c r="R649" s="1315"/>
      <c r="T649" s="4"/>
      <c r="U649" t="s">
        <v>650</v>
      </c>
      <c r="Z649" s="1058"/>
      <c r="AA649" s="1058"/>
      <c r="AB649" s="1058"/>
      <c r="AC649" s="1058"/>
      <c r="AD649" s="1058"/>
      <c r="AE649" s="1058"/>
      <c r="AH649" s="42" t="s">
        <v>818</v>
      </c>
      <c r="AI649" s="1315"/>
      <c r="AJ649" s="1315"/>
      <c r="AK649" s="1315"/>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136</v>
      </c>
      <c r="CR649" s="41"/>
      <c r="CS649" s="41"/>
    </row>
    <row r="650" spans="1:97" ht="12.9" customHeight="1">
      <c r="A650" s="4"/>
      <c r="B650" t="s">
        <v>834</v>
      </c>
      <c r="H650" s="1056" t="s">
        <v>2171</v>
      </c>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15" t="s">
        <v>108</v>
      </c>
      <c r="O651" s="1115"/>
      <c r="T651" s="4"/>
      <c r="U651" t="s">
        <v>836</v>
      </c>
      <c r="AG651" s="1115" t="s">
        <v>482</v>
      </c>
      <c r="AH651" s="1115"/>
      <c r="AM651" s="41"/>
      <c r="AN651" s="41"/>
      <c r="AO651" s="41"/>
      <c r="AP651" s="41"/>
      <c r="AQ651" s="41"/>
      <c r="AR651" s="41"/>
      <c r="AS651" s="41"/>
      <c r="AT651" s="41"/>
      <c r="AU651" s="41"/>
      <c r="AV651" s="41"/>
      <c r="AW651" s="41"/>
      <c r="AX651" s="41"/>
      <c r="AY651" s="41"/>
      <c r="AZ651" s="41"/>
      <c r="BA651" s="41"/>
      <c r="BB651" s="41"/>
      <c r="BC651" s="41"/>
      <c r="BD651" s="41"/>
      <c r="BN651" s="1504">
        <f>BN626+BN633+BN645</f>
        <v>0</v>
      </c>
      <c r="BO651" s="1505"/>
      <c r="BP651" s="1505"/>
      <c r="BQ651" s="1505"/>
      <c r="BR651" s="1506"/>
      <c r="BS651" s="1504">
        <f>BS626+BS633+BS645</f>
        <v>24</v>
      </c>
      <c r="BT651" s="1505"/>
      <c r="BU651" s="1505"/>
      <c r="BV651" s="1505"/>
      <c r="BW651" s="1506"/>
      <c r="BX651" s="1504">
        <f>BX626+BX633+BX645</f>
        <v>30</v>
      </c>
      <c r="BY651" s="1505"/>
      <c r="BZ651" s="1505"/>
      <c r="CA651" s="1505"/>
      <c r="CB651" s="1506"/>
      <c r="CC651" s="1504">
        <f>CC626+CC633+CC645</f>
        <v>18</v>
      </c>
      <c r="CD651" s="1505"/>
      <c r="CE651" s="1505"/>
      <c r="CF651" s="1505"/>
      <c r="CG651" s="1506"/>
      <c r="CH651" s="1504">
        <f>CH626+CH633+CH645</f>
        <v>0</v>
      </c>
      <c r="CI651" s="1505"/>
      <c r="CJ651" s="1505"/>
      <c r="CK651" s="1505"/>
      <c r="CL651" s="1506"/>
      <c r="CM651" s="1074">
        <f>CM645+CM633+CM626</f>
        <v>0</v>
      </c>
      <c r="CN651" s="1303"/>
      <c r="CO651" s="1303"/>
      <c r="CP651" s="1303"/>
      <c r="CQ651" s="1075"/>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4">
        <f>C625</f>
        <v>0</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58"/>
      <c r="H657" s="1058"/>
      <c r="I657" s="1058"/>
      <c r="J657" s="1058"/>
      <c r="K657" s="1058"/>
      <c r="L657" s="1058"/>
      <c r="O657" s="42" t="s">
        <v>818</v>
      </c>
      <c r="P657" s="1315"/>
      <c r="Q657" s="1315"/>
      <c r="R657" s="1315"/>
      <c r="T657" s="4"/>
      <c r="U657" t="s">
        <v>650</v>
      </c>
      <c r="Z657" s="1058"/>
      <c r="AA657" s="1058"/>
      <c r="AB657" s="1058"/>
      <c r="AC657" s="1058"/>
      <c r="AD657" s="1058"/>
      <c r="AE657" s="1058"/>
      <c r="AH657" s="42" t="s">
        <v>818</v>
      </c>
      <c r="AI657" s="1315"/>
      <c r="AJ657" s="1315"/>
      <c r="AK657" s="1315"/>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15" t="s">
        <v>482</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58"/>
      <c r="H665" s="1058"/>
      <c r="I665" s="1058"/>
      <c r="J665" s="1058"/>
      <c r="K665" s="1058"/>
      <c r="L665" s="1058"/>
      <c r="O665" s="42" t="s">
        <v>818</v>
      </c>
      <c r="P665" s="1315"/>
      <c r="Q665" s="1315"/>
      <c r="R665" s="1315"/>
      <c r="T665" s="4"/>
      <c r="U665" t="s">
        <v>650</v>
      </c>
      <c r="Z665" s="1058"/>
      <c r="AA665" s="1058"/>
      <c r="AB665" s="1058"/>
      <c r="AC665" s="1058"/>
      <c r="AD665" s="1058"/>
      <c r="AE665" s="1058"/>
      <c r="AH665" s="42" t="s">
        <v>818</v>
      </c>
      <c r="AI665" s="1315"/>
      <c r="AJ665" s="1315"/>
      <c r="AK665" s="131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58"/>
      <c r="H673" s="1058"/>
      <c r="I673" s="1058"/>
      <c r="J673" s="1058"/>
      <c r="K673" s="1058"/>
      <c r="L673" s="1058"/>
      <c r="O673" s="42" t="s">
        <v>818</v>
      </c>
      <c r="P673" s="1315"/>
      <c r="Q673" s="1315"/>
      <c r="R673" s="1315"/>
      <c r="T673" s="4"/>
      <c r="U673" t="s">
        <v>650</v>
      </c>
      <c r="Z673" s="1058"/>
      <c r="AA673" s="1058"/>
      <c r="AB673" s="1058"/>
      <c r="AC673" s="1058"/>
      <c r="AD673" s="1058"/>
      <c r="AE673" s="1058"/>
      <c r="AH673" s="42" t="s">
        <v>818</v>
      </c>
      <c r="AI673" s="1315"/>
      <c r="AJ673" s="1315"/>
      <c r="AK673" s="1315"/>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58"/>
      <c r="H681" s="1058"/>
      <c r="I681" s="1058"/>
      <c r="J681" s="1058"/>
      <c r="K681" s="1058"/>
      <c r="L681" s="1058"/>
      <c r="O681" s="42" t="s">
        <v>818</v>
      </c>
      <c r="P681" s="1315"/>
      <c r="Q681" s="1315"/>
      <c r="R681" s="1315"/>
      <c r="U681" t="s">
        <v>650</v>
      </c>
      <c r="Z681" s="1058"/>
      <c r="AA681" s="1058"/>
      <c r="AB681" s="1058"/>
      <c r="AC681" s="1058"/>
      <c r="AD681" s="1058"/>
      <c r="AE681" s="1058"/>
      <c r="AH681" s="42" t="s">
        <v>818</v>
      </c>
      <c r="AI681" s="1315"/>
      <c r="AJ681" s="1315"/>
      <c r="AK681" s="1315"/>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8"/>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5" t="s">
        <v>54</v>
      </c>
      <c r="C691" s="1266"/>
      <c r="D691" s="1266"/>
      <c r="E691" s="1266"/>
      <c r="F691" s="1267"/>
      <c r="G691" s="1265" t="s">
        <v>256</v>
      </c>
      <c r="H691" s="1266"/>
      <c r="I691" s="1266"/>
      <c r="J691" s="1267"/>
      <c r="K691" s="1456" t="s">
        <v>1993</v>
      </c>
      <c r="L691" s="1457"/>
      <c r="M691" s="1457"/>
      <c r="N691" s="1458"/>
      <c r="O691" s="1265" t="s">
        <v>589</v>
      </c>
      <c r="P691" s="1266"/>
      <c r="Q691" s="1266"/>
      <c r="R691" s="1266"/>
      <c r="S691" s="1267"/>
      <c r="T691" s="1265" t="s">
        <v>257</v>
      </c>
      <c r="U691" s="1266"/>
      <c r="V691" s="1266"/>
      <c r="W691" s="1266"/>
      <c r="X691" s="1267"/>
      <c r="Y691" s="1265" t="s">
        <v>258</v>
      </c>
      <c r="Z691" s="1266"/>
      <c r="AA691" s="1266"/>
      <c r="AB691" s="1267"/>
      <c r="AC691" s="1265" t="s">
        <v>259</v>
      </c>
      <c r="AD691" s="1266"/>
      <c r="AE691" s="1266"/>
      <c r="AF691" s="1266"/>
      <c r="AG691" s="1267"/>
      <c r="AH691" s="1265" t="s">
        <v>1994</v>
      </c>
      <c r="AI691" s="1266"/>
      <c r="AJ691" s="1266"/>
      <c r="AK691" s="1266"/>
      <c r="AL691" s="1267"/>
      <c r="AM691" s="1265" t="s">
        <v>1995</v>
      </c>
      <c r="AN691" s="1266"/>
      <c r="AO691" s="1267"/>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68"/>
      <c r="C692" s="1269"/>
      <c r="D692" s="1269"/>
      <c r="E692" s="1269"/>
      <c r="F692" s="1270"/>
      <c r="G692" s="1268"/>
      <c r="H692" s="1269"/>
      <c r="I692" s="1269"/>
      <c r="J692" s="1270"/>
      <c r="K692" s="1459"/>
      <c r="L692" s="1460"/>
      <c r="M692" s="1460"/>
      <c r="N692" s="1461"/>
      <c r="O692" s="1268"/>
      <c r="P692" s="1269"/>
      <c r="Q692" s="1269"/>
      <c r="R692" s="1269"/>
      <c r="S692" s="1270"/>
      <c r="T692" s="1268"/>
      <c r="U692" s="1269"/>
      <c r="V692" s="1269"/>
      <c r="W692" s="1269"/>
      <c r="X692" s="1270"/>
      <c r="Y692" s="1268"/>
      <c r="Z692" s="1269"/>
      <c r="AA692" s="1269"/>
      <c r="AB692" s="1270"/>
      <c r="AC692" s="1268"/>
      <c r="AD692" s="1269"/>
      <c r="AE692" s="1269"/>
      <c r="AF692" s="1269"/>
      <c r="AG692" s="1270"/>
      <c r="AH692" s="1268"/>
      <c r="AI692" s="1269"/>
      <c r="AJ692" s="1269"/>
      <c r="AK692" s="1269"/>
      <c r="AL692" s="1270"/>
      <c r="AM692" s="1268"/>
      <c r="AN692" s="1269"/>
      <c r="AO692" s="1270"/>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68"/>
      <c r="C693" s="1269"/>
      <c r="D693" s="1269"/>
      <c r="E693" s="1269"/>
      <c r="F693" s="1270"/>
      <c r="G693" s="1268"/>
      <c r="H693" s="1269"/>
      <c r="I693" s="1269"/>
      <c r="J693" s="1270"/>
      <c r="K693" s="1459"/>
      <c r="L693" s="1460"/>
      <c r="M693" s="1460"/>
      <c r="N693" s="1461"/>
      <c r="O693" s="1268"/>
      <c r="P693" s="1269"/>
      <c r="Q693" s="1269"/>
      <c r="R693" s="1269"/>
      <c r="S693" s="1270"/>
      <c r="T693" s="1268"/>
      <c r="U693" s="1269"/>
      <c r="V693" s="1269"/>
      <c r="W693" s="1269"/>
      <c r="X693" s="1270"/>
      <c r="Y693" s="1268"/>
      <c r="Z693" s="1269"/>
      <c r="AA693" s="1269"/>
      <c r="AB693" s="1270"/>
      <c r="AC693" s="1268"/>
      <c r="AD693" s="1269"/>
      <c r="AE693" s="1269"/>
      <c r="AF693" s="1269"/>
      <c r="AG693" s="1270"/>
      <c r="AH693" s="1268"/>
      <c r="AI693" s="1269"/>
      <c r="AJ693" s="1269"/>
      <c r="AK693" s="1269"/>
      <c r="AL693" s="1270"/>
      <c r="AM693" s="1268"/>
      <c r="AN693" s="1269"/>
      <c r="AO693" s="1270"/>
      <c r="AX693" s="43"/>
      <c r="AY693" s="3" t="s">
        <v>1135</v>
      </c>
      <c r="AZ693" s="43"/>
      <c r="BA693" s="43"/>
      <c r="BB693" s="41"/>
      <c r="BC693" s="41"/>
      <c r="BD693" s="41"/>
      <c r="BE693" s="845" t="s">
        <v>1996</v>
      </c>
      <c r="BF693" s="846"/>
      <c r="BG693" s="846"/>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1"/>
      <c r="C694" s="1272"/>
      <c r="D694" s="1272"/>
      <c r="E694" s="1272"/>
      <c r="F694" s="1273"/>
      <c r="G694" s="1271"/>
      <c r="H694" s="1272"/>
      <c r="I694" s="1272"/>
      <c r="J694" s="1273"/>
      <c r="K694" s="1459"/>
      <c r="L694" s="1460"/>
      <c r="M694" s="1460"/>
      <c r="N694" s="1461"/>
      <c r="O694" s="1271"/>
      <c r="P694" s="1272"/>
      <c r="Q694" s="1272"/>
      <c r="R694" s="1272"/>
      <c r="S694" s="1273"/>
      <c r="T694" s="1271"/>
      <c r="U694" s="1272"/>
      <c r="V694" s="1272"/>
      <c r="W694" s="1272"/>
      <c r="X694" s="1273"/>
      <c r="Y694" s="1271"/>
      <c r="Z694" s="1272"/>
      <c r="AA694" s="1272"/>
      <c r="AB694" s="1273"/>
      <c r="AC694" s="1271"/>
      <c r="AD694" s="1272"/>
      <c r="AE694" s="1272"/>
      <c r="AF694" s="1272"/>
      <c r="AG694" s="1273"/>
      <c r="AH694" s="1271"/>
      <c r="AI694" s="1272"/>
      <c r="AJ694" s="1272"/>
      <c r="AK694" s="1272"/>
      <c r="AL694" s="1273"/>
      <c r="AM694" s="1271"/>
      <c r="AN694" s="1272"/>
      <c r="AO694" s="1273"/>
      <c r="AV694" s="269" t="s">
        <v>2313</v>
      </c>
      <c r="AX694" s="43"/>
      <c r="AY694" s="450" t="s">
        <v>1136</v>
      </c>
      <c r="AZ694" s="464" t="s">
        <v>1137</v>
      </c>
      <c r="BA694" s="463" t="s">
        <v>1138</v>
      </c>
      <c r="BB694" s="41"/>
      <c r="BC694" s="41"/>
      <c r="BD694" s="41"/>
      <c r="BE694" s="847" t="s">
        <v>1136</v>
      </c>
      <c r="BF694" s="848" t="s">
        <v>1137</v>
      </c>
      <c r="BG694" s="849"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79" t="s">
        <v>442</v>
      </c>
      <c r="C695" s="1080"/>
      <c r="D695" s="1080"/>
      <c r="E695" s="1080"/>
      <c r="F695" s="1081"/>
      <c r="G695" s="1082">
        <v>5</v>
      </c>
      <c r="H695" s="1083"/>
      <c r="I695" s="1083"/>
      <c r="J695" s="1084"/>
      <c r="K695" s="1085">
        <f>(710+620)/2</f>
        <v>665</v>
      </c>
      <c r="L695" s="1086"/>
      <c r="M695" s="1086"/>
      <c r="N695" s="1087"/>
      <c r="O695" s="1088">
        <f>510-Y695</f>
        <v>383</v>
      </c>
      <c r="P695" s="1089"/>
      <c r="Q695" s="1089"/>
      <c r="R695" s="1089"/>
      <c r="S695" s="1090"/>
      <c r="T695" s="1091">
        <f t="shared" ref="T695:T729" si="45">G695*O695</f>
        <v>1915</v>
      </c>
      <c r="U695" s="1092"/>
      <c r="V695" s="1092"/>
      <c r="W695" s="1092"/>
      <c r="X695" s="1093"/>
      <c r="Y695" s="1088">
        <f>Q811</f>
        <v>127</v>
      </c>
      <c r="Z695" s="1089"/>
      <c r="AA695" s="1089"/>
      <c r="AB695" s="1090"/>
      <c r="AC695" s="1091">
        <f t="shared" ref="AC695:AC729" si="46">O695+Y695</f>
        <v>510</v>
      </c>
      <c r="AD695" s="1092"/>
      <c r="AE695" s="1092"/>
      <c r="AF695" s="1092"/>
      <c r="AG695" s="1093"/>
      <c r="AH695" s="1347">
        <v>0.3</v>
      </c>
      <c r="AI695" s="1348"/>
      <c r="AJ695" s="1348"/>
      <c r="AK695" s="1348"/>
      <c r="AL695" s="1349"/>
      <c r="AM695" s="1076">
        <f>IF($AH695&gt;0,($AC695/$AV695),"")</f>
        <v>0.3</v>
      </c>
      <c r="AN695" s="1077"/>
      <c r="AO695" s="1078"/>
      <c r="AV695" s="43">
        <f t="shared" ref="AV695:AV729" si="47">IF($G695=0,"N/A",VLOOKUP($T$189,TC_Rent,(MATCH($B695,bedrooms,FALSE))))</f>
        <v>1700</v>
      </c>
      <c r="AX695" s="43"/>
      <c r="AY695" s="445">
        <f t="shared" ref="AY695:AY718" si="48">G695</f>
        <v>5</v>
      </c>
      <c r="AZ695" s="452">
        <f t="shared" ref="AZ695:AZ718" si="49">IF($AY$730=0,"",AY695/$AY$730)</f>
        <v>7.0422535211267609E-2</v>
      </c>
      <c r="BA695" s="453">
        <f t="shared" ref="BA695:BA718" si="50">IF(AZ695="","",AZ695*AH695)</f>
        <v>2.1126760563380281E-2</v>
      </c>
      <c r="BB695" s="41"/>
      <c r="BC695" s="41"/>
      <c r="BD695" s="41"/>
      <c r="BE695" s="850">
        <f t="shared" ref="BE695:BE718" si="51">G695</f>
        <v>5</v>
      </c>
      <c r="BF695" s="854">
        <f t="shared" ref="BF695:BF718" si="52">IF(BE695=0,"",BE695/$BE$730)</f>
        <v>7.0422535211267609E-2</v>
      </c>
      <c r="BG695" s="855">
        <f t="shared" ref="BG695:BG718" si="53">IF(BF695="","",BF695*AM695)</f>
        <v>2.1126760563380281E-2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79" t="s">
        <v>442</v>
      </c>
      <c r="C696" s="1080"/>
      <c r="D696" s="1080"/>
      <c r="E696" s="1080"/>
      <c r="F696" s="1081"/>
      <c r="G696" s="1082">
        <v>9</v>
      </c>
      <c r="H696" s="1083"/>
      <c r="I696" s="1083"/>
      <c r="J696" s="1084"/>
      <c r="K696" s="1085">
        <f t="shared" ref="K696:K697" si="54">(710+620)/2</f>
        <v>665</v>
      </c>
      <c r="L696" s="1086"/>
      <c r="M696" s="1086"/>
      <c r="N696" s="1087"/>
      <c r="O696" s="1088">
        <f>850-Y696</f>
        <v>723</v>
      </c>
      <c r="P696" s="1089"/>
      <c r="Q696" s="1089"/>
      <c r="R696" s="1089"/>
      <c r="S696" s="1090"/>
      <c r="T696" s="1091">
        <f t="shared" si="45"/>
        <v>6507</v>
      </c>
      <c r="U696" s="1092"/>
      <c r="V696" s="1092"/>
      <c r="W696" s="1092"/>
      <c r="X696" s="1093"/>
      <c r="Y696" s="1088">
        <f>Q811</f>
        <v>127</v>
      </c>
      <c r="Z696" s="1089"/>
      <c r="AA696" s="1089"/>
      <c r="AB696" s="1090"/>
      <c r="AC696" s="1091">
        <f t="shared" si="46"/>
        <v>850</v>
      </c>
      <c r="AD696" s="1092"/>
      <c r="AE696" s="1092"/>
      <c r="AF696" s="1092"/>
      <c r="AG696" s="1093"/>
      <c r="AH696" s="1094">
        <v>0.5</v>
      </c>
      <c r="AI696" s="1095"/>
      <c r="AJ696" s="1095"/>
      <c r="AK696" s="1095"/>
      <c r="AL696" s="1096"/>
      <c r="AM696" s="1076">
        <f t="shared" ref="AM696:AM718" si="55">IF($AH696&gt;0,($AC696/$AV696), "")</f>
        <v>0.5</v>
      </c>
      <c r="AN696" s="1077"/>
      <c r="AO696" s="1078"/>
      <c r="AV696" s="43">
        <f t="shared" si="47"/>
        <v>1700</v>
      </c>
      <c r="AX696" s="43"/>
      <c r="AY696" s="446">
        <f t="shared" si="48"/>
        <v>9</v>
      </c>
      <c r="AZ696" s="452">
        <f t="shared" si="49"/>
        <v>0.12676056338028169</v>
      </c>
      <c r="BA696" s="453">
        <f t="shared" si="50"/>
        <v>6.3380281690140844E-2</v>
      </c>
      <c r="BB696" s="41"/>
      <c r="BC696" s="41"/>
      <c r="BD696" s="41"/>
      <c r="BE696" s="850">
        <f t="shared" si="51"/>
        <v>9</v>
      </c>
      <c r="BF696" s="854">
        <f t="shared" si="52"/>
        <v>0.12676056338028169</v>
      </c>
      <c r="BG696" s="855">
        <f t="shared" si="53"/>
        <v>6.3380281690140844E-2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79" t="s">
        <v>442</v>
      </c>
      <c r="C697" s="1080"/>
      <c r="D697" s="1080"/>
      <c r="E697" s="1080"/>
      <c r="F697" s="1081"/>
      <c r="G697" s="1082">
        <v>10</v>
      </c>
      <c r="H697" s="1083"/>
      <c r="I697" s="1083"/>
      <c r="J697" s="1084"/>
      <c r="K697" s="1085">
        <f t="shared" si="54"/>
        <v>665</v>
      </c>
      <c r="L697" s="1086"/>
      <c r="M697" s="1086"/>
      <c r="N697" s="1087"/>
      <c r="O697" s="1088">
        <f>1020-Y697</f>
        <v>893</v>
      </c>
      <c r="P697" s="1089"/>
      <c r="Q697" s="1089"/>
      <c r="R697" s="1089"/>
      <c r="S697" s="1090"/>
      <c r="T697" s="1091">
        <f t="shared" si="45"/>
        <v>8930</v>
      </c>
      <c r="U697" s="1092"/>
      <c r="V697" s="1092"/>
      <c r="W697" s="1092"/>
      <c r="X697" s="1093"/>
      <c r="Y697" s="1088">
        <f>Q811</f>
        <v>127</v>
      </c>
      <c r="Z697" s="1089"/>
      <c r="AA697" s="1089"/>
      <c r="AB697" s="1090"/>
      <c r="AC697" s="1091">
        <f t="shared" si="46"/>
        <v>1020</v>
      </c>
      <c r="AD697" s="1092"/>
      <c r="AE697" s="1092"/>
      <c r="AF697" s="1092"/>
      <c r="AG697" s="1093"/>
      <c r="AH697" s="1094">
        <v>0.6</v>
      </c>
      <c r="AI697" s="1095"/>
      <c r="AJ697" s="1095"/>
      <c r="AK697" s="1095"/>
      <c r="AL697" s="1096"/>
      <c r="AM697" s="1076">
        <f t="shared" si="55"/>
        <v>0.6</v>
      </c>
      <c r="AN697" s="1077"/>
      <c r="AO697" s="1078"/>
      <c r="AV697" s="43">
        <f t="shared" si="47"/>
        <v>1700</v>
      </c>
      <c r="AX697" s="41"/>
      <c r="AY697" s="446">
        <f t="shared" si="48"/>
        <v>10</v>
      </c>
      <c r="AZ697" s="452">
        <f t="shared" si="49"/>
        <v>0.14084507042253522</v>
      </c>
      <c r="BA697" s="453">
        <f t="shared" si="50"/>
        <v>8.4507042253521125E-2</v>
      </c>
      <c r="BB697" s="41"/>
      <c r="BC697" s="41"/>
      <c r="BD697" s="41"/>
      <c r="BE697" s="850">
        <f t="shared" si="51"/>
        <v>10</v>
      </c>
      <c r="BF697" s="854">
        <f t="shared" si="52"/>
        <v>0.14084507042253522</v>
      </c>
      <c r="BG697" s="855">
        <f t="shared" si="53"/>
        <v>8.4507042253521125E-2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79"/>
      <c r="C698" s="1080"/>
      <c r="D698" s="1080"/>
      <c r="E698" s="1080"/>
      <c r="F698" s="1081"/>
      <c r="G698" s="1082"/>
      <c r="H698" s="1083"/>
      <c r="I698" s="1083"/>
      <c r="J698" s="1084"/>
      <c r="K698" s="1085"/>
      <c r="L698" s="1086"/>
      <c r="M698" s="1086"/>
      <c r="N698" s="1087"/>
      <c r="O698" s="1088"/>
      <c r="P698" s="1089"/>
      <c r="Q698" s="1089"/>
      <c r="R698" s="1089"/>
      <c r="S698" s="1090"/>
      <c r="T698" s="1091">
        <f t="shared" si="45"/>
        <v>0</v>
      </c>
      <c r="U698" s="1092"/>
      <c r="V698" s="1092"/>
      <c r="W698" s="1092"/>
      <c r="X698" s="1093"/>
      <c r="Y698" s="1088"/>
      <c r="Z698" s="1089"/>
      <c r="AA698" s="1089"/>
      <c r="AB698" s="1090"/>
      <c r="AC698" s="1091">
        <f t="shared" si="46"/>
        <v>0</v>
      </c>
      <c r="AD698" s="1092"/>
      <c r="AE698" s="1092"/>
      <c r="AF698" s="1092"/>
      <c r="AG698" s="1093"/>
      <c r="AH698" s="1094"/>
      <c r="AI698" s="1095"/>
      <c r="AJ698" s="1095"/>
      <c r="AK698" s="1095"/>
      <c r="AL698" s="1096"/>
      <c r="AM698" s="1076" t="str">
        <f t="shared" si="55"/>
        <v/>
      </c>
      <c r="AN698" s="1077"/>
      <c r="AO698" s="1078"/>
      <c r="AV698" s="43" t="str">
        <f t="shared" si="47"/>
        <v>N/A</v>
      </c>
      <c r="AX698" s="41"/>
      <c r="AY698" s="446">
        <f t="shared" si="48"/>
        <v>0</v>
      </c>
      <c r="AZ698" s="452">
        <f t="shared" si="49"/>
        <v>0</v>
      </c>
      <c r="BA698" s="453">
        <f t="shared" si="50"/>
        <v>0</v>
      </c>
      <c r="BB698" s="41"/>
      <c r="BC698" s="41"/>
      <c r="BD698" s="41"/>
      <c r="BE698" s="850">
        <f t="shared" si="51"/>
        <v>0</v>
      </c>
      <c r="BF698" s="854" t="str">
        <f t="shared" si="52"/>
        <v/>
      </c>
      <c r="BG698" s="855" t="str">
        <f t="shared" si="53"/>
        <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79" t="s">
        <v>780</v>
      </c>
      <c r="C699" s="1080"/>
      <c r="D699" s="1080"/>
      <c r="E699" s="1080"/>
      <c r="F699" s="1081"/>
      <c r="G699" s="1082">
        <v>5</v>
      </c>
      <c r="H699" s="1083"/>
      <c r="I699" s="1083"/>
      <c r="J699" s="1084"/>
      <c r="K699" s="1085">
        <f>(887+817+908+839+887)/5</f>
        <v>867.6</v>
      </c>
      <c r="L699" s="1086"/>
      <c r="M699" s="1086"/>
      <c r="N699" s="1087"/>
      <c r="O699" s="1088">
        <f>612.6-Y699</f>
        <v>447.6</v>
      </c>
      <c r="P699" s="1089"/>
      <c r="Q699" s="1089"/>
      <c r="R699" s="1089"/>
      <c r="S699" s="1090"/>
      <c r="T699" s="1091">
        <f t="shared" si="45"/>
        <v>2238</v>
      </c>
      <c r="U699" s="1092"/>
      <c r="V699" s="1092"/>
      <c r="W699" s="1092"/>
      <c r="X699" s="1093"/>
      <c r="Y699" s="1088">
        <f>U811</f>
        <v>165</v>
      </c>
      <c r="Z699" s="1089"/>
      <c r="AA699" s="1089"/>
      <c r="AB699" s="1090"/>
      <c r="AC699" s="1091">
        <f t="shared" si="46"/>
        <v>612.6</v>
      </c>
      <c r="AD699" s="1092"/>
      <c r="AE699" s="1092"/>
      <c r="AF699" s="1092"/>
      <c r="AG699" s="1093"/>
      <c r="AH699" s="1094">
        <v>0.3</v>
      </c>
      <c r="AI699" s="1095"/>
      <c r="AJ699" s="1095"/>
      <c r="AK699" s="1095"/>
      <c r="AL699" s="1096"/>
      <c r="AM699" s="1076">
        <f t="shared" si="55"/>
        <v>0.3</v>
      </c>
      <c r="AN699" s="1077"/>
      <c r="AO699" s="1078"/>
      <c r="AV699" s="43">
        <f t="shared" si="47"/>
        <v>2042</v>
      </c>
      <c r="AX699" s="41"/>
      <c r="AY699" s="446">
        <f t="shared" si="48"/>
        <v>5</v>
      </c>
      <c r="AZ699" s="452">
        <f t="shared" si="49"/>
        <v>7.0422535211267609E-2</v>
      </c>
      <c r="BA699" s="453">
        <f t="shared" si="50"/>
        <v>2.1126760563380281E-2</v>
      </c>
      <c r="BB699" s="41"/>
      <c r="BC699" s="41"/>
      <c r="BD699" s="41"/>
      <c r="BE699" s="850">
        <f t="shared" si="51"/>
        <v>5</v>
      </c>
      <c r="BF699" s="854">
        <f t="shared" si="52"/>
        <v>7.0422535211267609E-2</v>
      </c>
      <c r="BG699" s="855">
        <f t="shared" si="53"/>
        <v>2.1126760563380281E-2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79" t="s">
        <v>780</v>
      </c>
      <c r="C700" s="1080"/>
      <c r="D700" s="1080"/>
      <c r="E700" s="1080"/>
      <c r="F700" s="1081"/>
      <c r="G700" s="1082">
        <v>6</v>
      </c>
      <c r="H700" s="1083"/>
      <c r="I700" s="1083"/>
      <c r="J700" s="1084"/>
      <c r="K700" s="1085">
        <f t="shared" ref="K700:K702" si="56">(887+817+908+839+887)/5</f>
        <v>867.6</v>
      </c>
      <c r="L700" s="1086"/>
      <c r="M700" s="1086"/>
      <c r="N700" s="1087"/>
      <c r="O700" s="1088">
        <f>1021-Y700</f>
        <v>856</v>
      </c>
      <c r="P700" s="1089"/>
      <c r="Q700" s="1089"/>
      <c r="R700" s="1089"/>
      <c r="S700" s="1090"/>
      <c r="T700" s="1091">
        <f t="shared" si="45"/>
        <v>5136</v>
      </c>
      <c r="U700" s="1092"/>
      <c r="V700" s="1092"/>
      <c r="W700" s="1092"/>
      <c r="X700" s="1093"/>
      <c r="Y700" s="1088">
        <v>165</v>
      </c>
      <c r="Z700" s="1089"/>
      <c r="AA700" s="1089"/>
      <c r="AB700" s="1090"/>
      <c r="AC700" s="1091">
        <f t="shared" si="46"/>
        <v>1021</v>
      </c>
      <c r="AD700" s="1092"/>
      <c r="AE700" s="1092"/>
      <c r="AF700" s="1092"/>
      <c r="AG700" s="1093"/>
      <c r="AH700" s="1094">
        <v>0.5</v>
      </c>
      <c r="AI700" s="1095"/>
      <c r="AJ700" s="1095"/>
      <c r="AK700" s="1095"/>
      <c r="AL700" s="1096"/>
      <c r="AM700" s="1076">
        <f t="shared" si="55"/>
        <v>0.5</v>
      </c>
      <c r="AN700" s="1077"/>
      <c r="AO700" s="1078"/>
      <c r="AV700" s="43">
        <f t="shared" si="47"/>
        <v>2042</v>
      </c>
      <c r="AX700" s="41"/>
      <c r="AY700" s="446">
        <f t="shared" si="48"/>
        <v>6</v>
      </c>
      <c r="AZ700" s="452">
        <f t="shared" si="49"/>
        <v>8.4507042253521125E-2</v>
      </c>
      <c r="BA700" s="453">
        <f t="shared" si="50"/>
        <v>4.2253521126760563E-2</v>
      </c>
      <c r="BB700" s="41"/>
      <c r="BC700" s="41"/>
      <c r="BD700" s="41"/>
      <c r="BE700" s="850">
        <f t="shared" si="51"/>
        <v>6</v>
      </c>
      <c r="BF700" s="854">
        <f t="shared" si="52"/>
        <v>8.4507042253521125E-2</v>
      </c>
      <c r="BG700" s="855">
        <f t="shared" si="53"/>
        <v>4.2253521126760563E-2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79" t="s">
        <v>780</v>
      </c>
      <c r="C701" s="1080"/>
      <c r="D701" s="1080"/>
      <c r="E701" s="1080"/>
      <c r="F701" s="1081"/>
      <c r="G701" s="1082">
        <v>7</v>
      </c>
      <c r="H701" s="1083"/>
      <c r="I701" s="1083"/>
      <c r="J701" s="1084"/>
      <c r="K701" s="1085">
        <f t="shared" si="56"/>
        <v>867.6</v>
      </c>
      <c r="L701" s="1086"/>
      <c r="M701" s="1086"/>
      <c r="N701" s="1087"/>
      <c r="O701" s="1088">
        <f>1021-Y701</f>
        <v>856</v>
      </c>
      <c r="P701" s="1089"/>
      <c r="Q701" s="1089"/>
      <c r="R701" s="1089"/>
      <c r="S701" s="1090"/>
      <c r="T701" s="1091">
        <f t="shared" si="45"/>
        <v>5992</v>
      </c>
      <c r="U701" s="1092"/>
      <c r="V701" s="1092"/>
      <c r="W701" s="1092"/>
      <c r="X701" s="1093"/>
      <c r="Y701" s="1088">
        <f>U811</f>
        <v>165</v>
      </c>
      <c r="Z701" s="1089"/>
      <c r="AA701" s="1089"/>
      <c r="AB701" s="1090"/>
      <c r="AC701" s="1091">
        <f t="shared" si="46"/>
        <v>1021</v>
      </c>
      <c r="AD701" s="1092"/>
      <c r="AE701" s="1092"/>
      <c r="AF701" s="1092"/>
      <c r="AG701" s="1093"/>
      <c r="AH701" s="1094">
        <v>0.5</v>
      </c>
      <c r="AI701" s="1095"/>
      <c r="AJ701" s="1095"/>
      <c r="AK701" s="1095"/>
      <c r="AL701" s="1096"/>
      <c r="AM701" s="1076">
        <f t="shared" si="55"/>
        <v>0.5</v>
      </c>
      <c r="AN701" s="1077"/>
      <c r="AO701" s="1078"/>
      <c r="AV701" s="43">
        <f t="shared" si="47"/>
        <v>2042</v>
      </c>
      <c r="AX701" s="41"/>
      <c r="AY701" s="446">
        <f t="shared" si="48"/>
        <v>7</v>
      </c>
      <c r="AZ701" s="452">
        <f t="shared" si="49"/>
        <v>9.8591549295774641E-2</v>
      </c>
      <c r="BA701" s="453">
        <f t="shared" si="50"/>
        <v>4.9295774647887321E-2</v>
      </c>
      <c r="BB701" s="41"/>
      <c r="BC701" s="41"/>
      <c r="BD701" s="41"/>
      <c r="BE701" s="850">
        <f t="shared" si="51"/>
        <v>7</v>
      </c>
      <c r="BF701" s="854">
        <f t="shared" si="52"/>
        <v>9.8591549295774641E-2</v>
      </c>
      <c r="BG701" s="855">
        <f t="shared" si="53"/>
        <v>4.9295774647887321E-2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79" t="s">
        <v>780</v>
      </c>
      <c r="C702" s="1080"/>
      <c r="D702" s="1080"/>
      <c r="E702" s="1080"/>
      <c r="F702" s="1081"/>
      <c r="G702" s="1082">
        <v>11</v>
      </c>
      <c r="H702" s="1083"/>
      <c r="I702" s="1083"/>
      <c r="J702" s="1084"/>
      <c r="K702" s="1085">
        <f t="shared" si="56"/>
        <v>867.6</v>
      </c>
      <c r="L702" s="1086"/>
      <c r="M702" s="1086"/>
      <c r="N702" s="1087"/>
      <c r="O702" s="1088">
        <f>1225.2-Y702</f>
        <v>1060.2</v>
      </c>
      <c r="P702" s="1089"/>
      <c r="Q702" s="1089"/>
      <c r="R702" s="1089"/>
      <c r="S702" s="1090"/>
      <c r="T702" s="1091">
        <f t="shared" si="45"/>
        <v>11662.2</v>
      </c>
      <c r="U702" s="1092"/>
      <c r="V702" s="1092"/>
      <c r="W702" s="1092"/>
      <c r="X702" s="1093"/>
      <c r="Y702" s="1088">
        <f>U811</f>
        <v>165</v>
      </c>
      <c r="Z702" s="1089"/>
      <c r="AA702" s="1089"/>
      <c r="AB702" s="1090"/>
      <c r="AC702" s="1091">
        <f t="shared" si="46"/>
        <v>1225.2</v>
      </c>
      <c r="AD702" s="1092"/>
      <c r="AE702" s="1092"/>
      <c r="AF702" s="1092"/>
      <c r="AG702" s="1093"/>
      <c r="AH702" s="1094">
        <v>0.6</v>
      </c>
      <c r="AI702" s="1095"/>
      <c r="AJ702" s="1095"/>
      <c r="AK702" s="1095"/>
      <c r="AL702" s="1096"/>
      <c r="AM702" s="1076">
        <f t="shared" si="55"/>
        <v>0.6</v>
      </c>
      <c r="AN702" s="1077"/>
      <c r="AO702" s="1078"/>
      <c r="AV702" s="43">
        <f t="shared" si="47"/>
        <v>2042</v>
      </c>
      <c r="AX702" s="41"/>
      <c r="AY702" s="446">
        <f t="shared" si="48"/>
        <v>11</v>
      </c>
      <c r="AZ702" s="452">
        <f t="shared" si="49"/>
        <v>0.15492957746478872</v>
      </c>
      <c r="BA702" s="453">
        <f t="shared" si="50"/>
        <v>9.2957746478873227E-2</v>
      </c>
      <c r="BB702" s="41"/>
      <c r="BC702" s="41"/>
      <c r="BD702" s="41"/>
      <c r="BE702" s="850">
        <f t="shared" si="51"/>
        <v>11</v>
      </c>
      <c r="BF702" s="854">
        <f t="shared" si="52"/>
        <v>0.15492957746478872</v>
      </c>
      <c r="BG702" s="855">
        <f t="shared" si="53"/>
        <v>9.2957746478873227E-2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45"/>
        <v>0</v>
      </c>
      <c r="U703" s="1092"/>
      <c r="V703" s="1092"/>
      <c r="W703" s="1092"/>
      <c r="X703" s="1093"/>
      <c r="Y703" s="1088"/>
      <c r="Z703" s="1089"/>
      <c r="AA703" s="1089"/>
      <c r="AB703" s="1090"/>
      <c r="AC703" s="1091">
        <f t="shared" si="46"/>
        <v>0</v>
      </c>
      <c r="AD703" s="1092"/>
      <c r="AE703" s="1092"/>
      <c r="AF703" s="1092"/>
      <c r="AG703" s="1093"/>
      <c r="AH703" s="1094"/>
      <c r="AI703" s="1095"/>
      <c r="AJ703" s="1095"/>
      <c r="AK703" s="1095"/>
      <c r="AL703" s="1096"/>
      <c r="AM703" s="1076" t="str">
        <f t="shared" si="55"/>
        <v/>
      </c>
      <c r="AN703" s="1077"/>
      <c r="AO703" s="1078"/>
      <c r="AV703" s="43" t="str">
        <f t="shared" si="47"/>
        <v>N/A</v>
      </c>
      <c r="AX703" s="41"/>
      <c r="AY703" s="446">
        <f t="shared" si="48"/>
        <v>0</v>
      </c>
      <c r="AZ703" s="452">
        <f t="shared" si="49"/>
        <v>0</v>
      </c>
      <c r="BA703" s="453">
        <f t="shared" si="50"/>
        <v>0</v>
      </c>
      <c r="BB703" s="41"/>
      <c r="BC703" s="41"/>
      <c r="BD703" s="41"/>
      <c r="BE703" s="850">
        <f t="shared" si="51"/>
        <v>0</v>
      </c>
      <c r="BF703" s="854" t="str">
        <f t="shared" si="52"/>
        <v/>
      </c>
      <c r="BG703" s="855"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79" t="s">
        <v>781</v>
      </c>
      <c r="C704" s="1080"/>
      <c r="D704" s="1080"/>
      <c r="E704" s="1080"/>
      <c r="F704" s="1081"/>
      <c r="G704" s="1082">
        <v>5</v>
      </c>
      <c r="H704" s="1083"/>
      <c r="I704" s="1083"/>
      <c r="J704" s="1084"/>
      <c r="K704" s="1085">
        <f>(1156+1086+1069)/3</f>
        <v>1103.6666666666667</v>
      </c>
      <c r="L704" s="1086"/>
      <c r="M704" s="1086"/>
      <c r="N704" s="1087"/>
      <c r="O704" s="1088">
        <f>707.4-Y704</f>
        <v>516.4</v>
      </c>
      <c r="P704" s="1089"/>
      <c r="Q704" s="1089"/>
      <c r="R704" s="1089"/>
      <c r="S704" s="1090"/>
      <c r="T704" s="1091">
        <f t="shared" si="45"/>
        <v>2582</v>
      </c>
      <c r="U704" s="1092"/>
      <c r="V704" s="1092"/>
      <c r="W704" s="1092"/>
      <c r="X704" s="1093"/>
      <c r="Y704" s="1088">
        <v>191</v>
      </c>
      <c r="Z704" s="1089"/>
      <c r="AA704" s="1089"/>
      <c r="AB704" s="1090"/>
      <c r="AC704" s="1091">
        <f t="shared" si="46"/>
        <v>707.4</v>
      </c>
      <c r="AD704" s="1092"/>
      <c r="AE704" s="1092"/>
      <c r="AF704" s="1092"/>
      <c r="AG704" s="1093"/>
      <c r="AH704" s="1094">
        <v>0.3</v>
      </c>
      <c r="AI704" s="1095"/>
      <c r="AJ704" s="1095"/>
      <c r="AK704" s="1095"/>
      <c r="AL704" s="1096"/>
      <c r="AM704" s="1076">
        <f t="shared" si="55"/>
        <v>0.3</v>
      </c>
      <c r="AN704" s="1077"/>
      <c r="AO704" s="1078"/>
      <c r="AV704" s="43">
        <f t="shared" si="47"/>
        <v>2358</v>
      </c>
      <c r="AX704" s="41"/>
      <c r="AY704" s="446">
        <f t="shared" si="48"/>
        <v>5</v>
      </c>
      <c r="AZ704" s="452">
        <f t="shared" si="49"/>
        <v>7.0422535211267609E-2</v>
      </c>
      <c r="BA704" s="453">
        <f t="shared" si="50"/>
        <v>2.1126760563380281E-2</v>
      </c>
      <c r="BB704" s="41"/>
      <c r="BC704" s="41"/>
      <c r="BD704" s="41"/>
      <c r="BE704" s="850">
        <f t="shared" si="51"/>
        <v>5</v>
      </c>
      <c r="BF704" s="854">
        <f t="shared" si="52"/>
        <v>7.0422535211267609E-2</v>
      </c>
      <c r="BG704" s="855">
        <f t="shared" si="53"/>
        <v>2.1126760563380281E-2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79" t="s">
        <v>781</v>
      </c>
      <c r="C705" s="1080"/>
      <c r="D705" s="1080"/>
      <c r="E705" s="1080"/>
      <c r="F705" s="1081"/>
      <c r="G705" s="1082">
        <v>4</v>
      </c>
      <c r="H705" s="1083"/>
      <c r="I705" s="1083"/>
      <c r="J705" s="1084"/>
      <c r="K705" s="1085">
        <f t="shared" ref="K705:K707" si="57">(1156+1086+1069)/3</f>
        <v>1103.6666666666667</v>
      </c>
      <c r="L705" s="1086"/>
      <c r="M705" s="1086"/>
      <c r="N705" s="1087"/>
      <c r="O705" s="1088">
        <f>1179-Y705</f>
        <v>988</v>
      </c>
      <c r="P705" s="1089"/>
      <c r="Q705" s="1089"/>
      <c r="R705" s="1089"/>
      <c r="S705" s="1090"/>
      <c r="T705" s="1091">
        <f t="shared" si="45"/>
        <v>3952</v>
      </c>
      <c r="U705" s="1092"/>
      <c r="V705" s="1092"/>
      <c r="W705" s="1092"/>
      <c r="X705" s="1093"/>
      <c r="Y705" s="1088">
        <v>191</v>
      </c>
      <c r="Z705" s="1089"/>
      <c r="AA705" s="1089"/>
      <c r="AB705" s="1090"/>
      <c r="AC705" s="1091">
        <f t="shared" si="46"/>
        <v>1179</v>
      </c>
      <c r="AD705" s="1092"/>
      <c r="AE705" s="1092"/>
      <c r="AF705" s="1092"/>
      <c r="AG705" s="1093"/>
      <c r="AH705" s="1094">
        <v>0.5</v>
      </c>
      <c r="AI705" s="1095"/>
      <c r="AJ705" s="1095"/>
      <c r="AK705" s="1095"/>
      <c r="AL705" s="1096"/>
      <c r="AM705" s="1076">
        <f t="shared" si="55"/>
        <v>0.5</v>
      </c>
      <c r="AN705" s="1077"/>
      <c r="AO705" s="1078"/>
      <c r="AV705" s="43">
        <f t="shared" si="47"/>
        <v>2358</v>
      </c>
      <c r="AX705" s="41"/>
      <c r="AY705" s="446">
        <f t="shared" si="48"/>
        <v>4</v>
      </c>
      <c r="AZ705" s="452">
        <f t="shared" si="49"/>
        <v>5.6338028169014086E-2</v>
      </c>
      <c r="BA705" s="453">
        <f t="shared" si="50"/>
        <v>2.8169014084507043E-2</v>
      </c>
      <c r="BB705" s="41"/>
      <c r="BC705" s="41"/>
      <c r="BD705" s="41"/>
      <c r="BE705" s="850">
        <f t="shared" si="51"/>
        <v>4</v>
      </c>
      <c r="BF705" s="854">
        <f t="shared" si="52"/>
        <v>5.6338028169014086E-2</v>
      </c>
      <c r="BG705" s="855">
        <f t="shared" si="53"/>
        <v>2.8169014084507043E-2</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79" t="s">
        <v>781</v>
      </c>
      <c r="C706" s="1080"/>
      <c r="D706" s="1080"/>
      <c r="E706" s="1080"/>
      <c r="F706" s="1081"/>
      <c r="G706" s="1082">
        <v>3</v>
      </c>
      <c r="H706" s="1083"/>
      <c r="I706" s="1083"/>
      <c r="J706" s="1084"/>
      <c r="K706" s="1085">
        <f t="shared" si="57"/>
        <v>1103.6666666666667</v>
      </c>
      <c r="L706" s="1086"/>
      <c r="M706" s="1086"/>
      <c r="N706" s="1087"/>
      <c r="O706" s="1088">
        <f>1179-Y706</f>
        <v>988</v>
      </c>
      <c r="P706" s="1089"/>
      <c r="Q706" s="1089"/>
      <c r="R706" s="1089"/>
      <c r="S706" s="1090"/>
      <c r="T706" s="1091">
        <f t="shared" si="45"/>
        <v>2964</v>
      </c>
      <c r="U706" s="1092"/>
      <c r="V706" s="1092"/>
      <c r="W706" s="1092"/>
      <c r="X706" s="1093"/>
      <c r="Y706" s="1088">
        <v>191</v>
      </c>
      <c r="Z706" s="1089"/>
      <c r="AA706" s="1089"/>
      <c r="AB706" s="1090"/>
      <c r="AC706" s="1091">
        <f t="shared" si="46"/>
        <v>1179</v>
      </c>
      <c r="AD706" s="1092"/>
      <c r="AE706" s="1092"/>
      <c r="AF706" s="1092"/>
      <c r="AG706" s="1093"/>
      <c r="AH706" s="1094">
        <v>0.5</v>
      </c>
      <c r="AI706" s="1095"/>
      <c r="AJ706" s="1095"/>
      <c r="AK706" s="1095"/>
      <c r="AL706" s="1096"/>
      <c r="AM706" s="1076">
        <f t="shared" si="55"/>
        <v>0.5</v>
      </c>
      <c r="AN706" s="1077"/>
      <c r="AO706" s="1078"/>
      <c r="AV706" s="43">
        <f t="shared" si="47"/>
        <v>2358</v>
      </c>
      <c r="AX706" s="41"/>
      <c r="AY706" s="446">
        <f t="shared" si="48"/>
        <v>3</v>
      </c>
      <c r="AZ706" s="452">
        <f t="shared" si="49"/>
        <v>4.2253521126760563E-2</v>
      </c>
      <c r="BA706" s="453">
        <f t="shared" si="50"/>
        <v>2.1126760563380281E-2</v>
      </c>
      <c r="BB706" s="41"/>
      <c r="BC706" s="41"/>
      <c r="BD706" s="41"/>
      <c r="BE706" s="850">
        <f t="shared" si="51"/>
        <v>3</v>
      </c>
      <c r="BF706" s="854">
        <f t="shared" si="52"/>
        <v>4.2253521126760563E-2</v>
      </c>
      <c r="BG706" s="855">
        <f t="shared" si="53"/>
        <v>2.1126760563380281E-2</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79" t="s">
        <v>781</v>
      </c>
      <c r="C707" s="1080"/>
      <c r="D707" s="1080"/>
      <c r="E707" s="1080"/>
      <c r="F707" s="1081"/>
      <c r="G707" s="1082">
        <v>6</v>
      </c>
      <c r="H707" s="1083"/>
      <c r="I707" s="1083"/>
      <c r="J707" s="1084"/>
      <c r="K707" s="1085">
        <f t="shared" si="57"/>
        <v>1103.6666666666667</v>
      </c>
      <c r="L707" s="1086"/>
      <c r="M707" s="1086"/>
      <c r="N707" s="1087"/>
      <c r="O707" s="1088">
        <f>1414.8-Y707</f>
        <v>1223.8</v>
      </c>
      <c r="P707" s="1089"/>
      <c r="Q707" s="1089"/>
      <c r="R707" s="1089"/>
      <c r="S707" s="1090"/>
      <c r="T707" s="1091">
        <f t="shared" si="45"/>
        <v>7342.7999999999993</v>
      </c>
      <c r="U707" s="1092"/>
      <c r="V707" s="1092"/>
      <c r="W707" s="1092"/>
      <c r="X707" s="1093"/>
      <c r="Y707" s="1088">
        <v>191</v>
      </c>
      <c r="Z707" s="1089"/>
      <c r="AA707" s="1089"/>
      <c r="AB707" s="1090"/>
      <c r="AC707" s="1091">
        <f t="shared" si="46"/>
        <v>1414.8</v>
      </c>
      <c r="AD707" s="1092"/>
      <c r="AE707" s="1092"/>
      <c r="AF707" s="1092"/>
      <c r="AG707" s="1093"/>
      <c r="AH707" s="1094">
        <v>0.6</v>
      </c>
      <c r="AI707" s="1095"/>
      <c r="AJ707" s="1095"/>
      <c r="AK707" s="1095"/>
      <c r="AL707" s="1096"/>
      <c r="AM707" s="1076">
        <f t="shared" si="55"/>
        <v>0.6</v>
      </c>
      <c r="AN707" s="1077"/>
      <c r="AO707" s="1078"/>
      <c r="AV707" s="43">
        <f t="shared" si="47"/>
        <v>2358</v>
      </c>
      <c r="AX707" s="41"/>
      <c r="AY707" s="446">
        <f t="shared" si="48"/>
        <v>6</v>
      </c>
      <c r="AZ707" s="452">
        <f t="shared" si="49"/>
        <v>8.4507042253521125E-2</v>
      </c>
      <c r="BA707" s="453">
        <f t="shared" si="50"/>
        <v>5.0704225352112671E-2</v>
      </c>
      <c r="BB707" s="41"/>
      <c r="BC707" s="41"/>
      <c r="BD707" s="41"/>
      <c r="BE707" s="850">
        <f t="shared" si="51"/>
        <v>6</v>
      </c>
      <c r="BF707" s="854">
        <f t="shared" si="52"/>
        <v>8.4507042253521125E-2</v>
      </c>
      <c r="BG707" s="855">
        <f t="shared" si="53"/>
        <v>5.0704225352112671E-2</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5"/>
        <v>0</v>
      </c>
      <c r="U708" s="1092"/>
      <c r="V708" s="1092"/>
      <c r="W708" s="1092"/>
      <c r="X708" s="1093"/>
      <c r="Y708" s="1088"/>
      <c r="Z708" s="1089"/>
      <c r="AA708" s="1089"/>
      <c r="AB708" s="1090"/>
      <c r="AC708" s="1091">
        <f t="shared" si="46"/>
        <v>0</v>
      </c>
      <c r="AD708" s="1092"/>
      <c r="AE708" s="1092"/>
      <c r="AF708" s="1092"/>
      <c r="AG708" s="1093"/>
      <c r="AH708" s="1094"/>
      <c r="AI708" s="1095"/>
      <c r="AJ708" s="1095"/>
      <c r="AK708" s="1095"/>
      <c r="AL708" s="1096"/>
      <c r="AM708" s="1076" t="str">
        <f t="shared" si="55"/>
        <v/>
      </c>
      <c r="AN708" s="1077"/>
      <c r="AO708" s="1078"/>
      <c r="AV708" s="43" t="str">
        <f t="shared" si="47"/>
        <v>N/A</v>
      </c>
      <c r="AX708" s="41"/>
      <c r="AY708" s="446">
        <f t="shared" si="48"/>
        <v>0</v>
      </c>
      <c r="AZ708" s="452">
        <f t="shared" si="49"/>
        <v>0</v>
      </c>
      <c r="BA708" s="453">
        <f t="shared" si="50"/>
        <v>0</v>
      </c>
      <c r="BB708" s="41"/>
      <c r="BC708" s="41"/>
      <c r="BD708" s="41"/>
      <c r="BE708" s="850">
        <f t="shared" si="51"/>
        <v>0</v>
      </c>
      <c r="BF708" s="854" t="str">
        <f t="shared" si="52"/>
        <v/>
      </c>
      <c r="BG708" s="855"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5"/>
        <v>0</v>
      </c>
      <c r="U709" s="1092"/>
      <c r="V709" s="1092"/>
      <c r="W709" s="1092"/>
      <c r="X709" s="1093"/>
      <c r="Y709" s="1088"/>
      <c r="Z709" s="1089"/>
      <c r="AA709" s="1089"/>
      <c r="AB709" s="1090"/>
      <c r="AC709" s="1091">
        <f t="shared" si="46"/>
        <v>0</v>
      </c>
      <c r="AD709" s="1092"/>
      <c r="AE709" s="1092"/>
      <c r="AF709" s="1092"/>
      <c r="AG709" s="1093"/>
      <c r="AH709" s="1094"/>
      <c r="AI709" s="1095"/>
      <c r="AJ709" s="1095"/>
      <c r="AK709" s="1095"/>
      <c r="AL709" s="1096"/>
      <c r="AM709" s="1076" t="str">
        <f t="shared" si="55"/>
        <v/>
      </c>
      <c r="AN709" s="1077"/>
      <c r="AO709" s="1078"/>
      <c r="AV709" s="43" t="str">
        <f t="shared" si="47"/>
        <v>N/A</v>
      </c>
      <c r="AX709" s="41"/>
      <c r="AY709" s="446">
        <f t="shared" si="48"/>
        <v>0</v>
      </c>
      <c r="AZ709" s="452">
        <f t="shared" si="49"/>
        <v>0</v>
      </c>
      <c r="BA709" s="453">
        <f t="shared" si="50"/>
        <v>0</v>
      </c>
      <c r="BB709" s="41"/>
      <c r="BC709" s="41"/>
      <c r="BD709" s="41"/>
      <c r="BE709" s="850">
        <f t="shared" si="51"/>
        <v>0</v>
      </c>
      <c r="BF709" s="854" t="str">
        <f t="shared" si="52"/>
        <v/>
      </c>
      <c r="BG709" s="855"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5"/>
        <v>0</v>
      </c>
      <c r="U710" s="1092"/>
      <c r="V710" s="1092"/>
      <c r="W710" s="1092"/>
      <c r="X710" s="1093"/>
      <c r="Y710" s="1088"/>
      <c r="Z710" s="1089"/>
      <c r="AA710" s="1089"/>
      <c r="AB710" s="1090"/>
      <c r="AC710" s="1091">
        <f t="shared" si="46"/>
        <v>0</v>
      </c>
      <c r="AD710" s="1092"/>
      <c r="AE710" s="1092"/>
      <c r="AF710" s="1092"/>
      <c r="AG710" s="1093"/>
      <c r="AH710" s="1094"/>
      <c r="AI710" s="1095"/>
      <c r="AJ710" s="1095"/>
      <c r="AK710" s="1095"/>
      <c r="AL710" s="1096"/>
      <c r="AM710" s="1076" t="str">
        <f t="shared" si="55"/>
        <v/>
      </c>
      <c r="AN710" s="1077"/>
      <c r="AO710" s="1078"/>
      <c r="AV710" s="43" t="str">
        <f t="shared" si="47"/>
        <v>N/A</v>
      </c>
      <c r="AX710" s="41"/>
      <c r="AY710" s="446">
        <f t="shared" si="48"/>
        <v>0</v>
      </c>
      <c r="AZ710" s="452">
        <f t="shared" si="49"/>
        <v>0</v>
      </c>
      <c r="BA710" s="453">
        <f t="shared" si="50"/>
        <v>0</v>
      </c>
      <c r="BB710" s="41"/>
      <c r="BC710" s="41"/>
      <c r="BD710" s="41"/>
      <c r="BE710" s="850">
        <f t="shared" si="51"/>
        <v>0</v>
      </c>
      <c r="BF710" s="854" t="str">
        <f t="shared" si="52"/>
        <v/>
      </c>
      <c r="BG710" s="855"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5"/>
        <v>0</v>
      </c>
      <c r="U711" s="1092"/>
      <c r="V711" s="1092"/>
      <c r="W711" s="1092"/>
      <c r="X711" s="1093"/>
      <c r="Y711" s="1088"/>
      <c r="Z711" s="1089"/>
      <c r="AA711" s="1089"/>
      <c r="AB711" s="1090"/>
      <c r="AC711" s="1091">
        <f t="shared" si="46"/>
        <v>0</v>
      </c>
      <c r="AD711" s="1092"/>
      <c r="AE711" s="1092"/>
      <c r="AF711" s="1092"/>
      <c r="AG711" s="1093"/>
      <c r="AH711" s="1094"/>
      <c r="AI711" s="1095"/>
      <c r="AJ711" s="1095"/>
      <c r="AK711" s="1095"/>
      <c r="AL711" s="1096"/>
      <c r="AM711" s="1076" t="str">
        <f t="shared" si="55"/>
        <v/>
      </c>
      <c r="AN711" s="1077"/>
      <c r="AO711" s="1078"/>
      <c r="AV711" s="43" t="str">
        <f t="shared" si="47"/>
        <v>N/A</v>
      </c>
      <c r="AX711" s="41"/>
      <c r="AY711" s="446">
        <f t="shared" si="48"/>
        <v>0</v>
      </c>
      <c r="AZ711" s="452">
        <f t="shared" si="49"/>
        <v>0</v>
      </c>
      <c r="BA711" s="453">
        <f t="shared" si="50"/>
        <v>0</v>
      </c>
      <c r="BB711" s="41"/>
      <c r="BC711" s="41"/>
      <c r="BD711" s="41"/>
      <c r="BE711" s="850">
        <f t="shared" si="51"/>
        <v>0</v>
      </c>
      <c r="BF711" s="854" t="str">
        <f t="shared" si="52"/>
        <v/>
      </c>
      <c r="BG711" s="855"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5"/>
        <v>0</v>
      </c>
      <c r="U712" s="1092"/>
      <c r="V712" s="1092"/>
      <c r="W712" s="1092"/>
      <c r="X712" s="1093"/>
      <c r="Y712" s="1088"/>
      <c r="Z712" s="1089"/>
      <c r="AA712" s="1089"/>
      <c r="AB712" s="1090"/>
      <c r="AC712" s="1091">
        <f t="shared" si="46"/>
        <v>0</v>
      </c>
      <c r="AD712" s="1092"/>
      <c r="AE712" s="1092"/>
      <c r="AF712" s="1092"/>
      <c r="AG712" s="1093"/>
      <c r="AH712" s="1094"/>
      <c r="AI712" s="1095"/>
      <c r="AJ712" s="1095"/>
      <c r="AK712" s="1095"/>
      <c r="AL712" s="1096"/>
      <c r="AM712" s="1076" t="str">
        <f t="shared" si="55"/>
        <v/>
      </c>
      <c r="AN712" s="1077"/>
      <c r="AO712" s="1078"/>
      <c r="AV712" s="43" t="str">
        <f t="shared" si="47"/>
        <v>N/A</v>
      </c>
      <c r="AX712" s="41"/>
      <c r="AY712" s="446">
        <f t="shared" si="48"/>
        <v>0</v>
      </c>
      <c r="AZ712" s="452">
        <f t="shared" si="49"/>
        <v>0</v>
      </c>
      <c r="BA712" s="453">
        <f t="shared" si="50"/>
        <v>0</v>
      </c>
      <c r="BB712" s="43"/>
      <c r="BC712" s="43"/>
      <c r="BD712" s="43"/>
      <c r="BE712" s="850">
        <f t="shared" si="51"/>
        <v>0</v>
      </c>
      <c r="BF712" s="854" t="str">
        <f t="shared" si="52"/>
        <v/>
      </c>
      <c r="BG712" s="855"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5"/>
        <v>0</v>
      </c>
      <c r="U713" s="1092"/>
      <c r="V713" s="1092"/>
      <c r="W713" s="1092"/>
      <c r="X713" s="1093"/>
      <c r="Y713" s="1088"/>
      <c r="Z713" s="1089"/>
      <c r="AA713" s="1089"/>
      <c r="AB713" s="1090"/>
      <c r="AC713" s="1091">
        <f t="shared" si="46"/>
        <v>0</v>
      </c>
      <c r="AD713" s="1092"/>
      <c r="AE713" s="1092"/>
      <c r="AF713" s="1092"/>
      <c r="AG713" s="1093"/>
      <c r="AH713" s="1094"/>
      <c r="AI713" s="1095"/>
      <c r="AJ713" s="1095"/>
      <c r="AK713" s="1095"/>
      <c r="AL713" s="1096"/>
      <c r="AM713" s="1076" t="str">
        <f t="shared" si="55"/>
        <v/>
      </c>
      <c r="AN713" s="1077"/>
      <c r="AO713" s="1078"/>
      <c r="AV713" s="43" t="str">
        <f t="shared" si="47"/>
        <v>N/A</v>
      </c>
      <c r="AX713" s="41"/>
      <c r="AY713" s="446">
        <f t="shared" si="48"/>
        <v>0</v>
      </c>
      <c r="AZ713" s="452">
        <f t="shared" si="49"/>
        <v>0</v>
      </c>
      <c r="BA713" s="453">
        <f t="shared" si="50"/>
        <v>0</v>
      </c>
      <c r="BB713" s="43"/>
      <c r="BC713" s="43"/>
      <c r="BD713" s="43"/>
      <c r="BE713" s="850">
        <f t="shared" si="51"/>
        <v>0</v>
      </c>
      <c r="BF713" s="854" t="str">
        <f t="shared" si="52"/>
        <v/>
      </c>
      <c r="BG713" s="855"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5"/>
        <v>0</v>
      </c>
      <c r="U714" s="1092"/>
      <c r="V714" s="1092"/>
      <c r="W714" s="1092"/>
      <c r="X714" s="1093"/>
      <c r="Y714" s="1088"/>
      <c r="Z714" s="1089"/>
      <c r="AA714" s="1089"/>
      <c r="AB714" s="1090"/>
      <c r="AC714" s="1091">
        <f t="shared" si="46"/>
        <v>0</v>
      </c>
      <c r="AD714" s="1092"/>
      <c r="AE714" s="1092"/>
      <c r="AF714" s="1092"/>
      <c r="AG714" s="1093"/>
      <c r="AH714" s="1094"/>
      <c r="AI714" s="1095"/>
      <c r="AJ714" s="1095"/>
      <c r="AK714" s="1095"/>
      <c r="AL714" s="1096"/>
      <c r="AM714" s="1076" t="str">
        <f t="shared" si="55"/>
        <v/>
      </c>
      <c r="AN714" s="1077"/>
      <c r="AO714" s="1078"/>
      <c r="AV714" s="43" t="str">
        <f t="shared" si="47"/>
        <v>N/A</v>
      </c>
      <c r="AX714" s="41"/>
      <c r="AY714" s="446">
        <f t="shared" si="48"/>
        <v>0</v>
      </c>
      <c r="AZ714" s="452">
        <f t="shared" si="49"/>
        <v>0</v>
      </c>
      <c r="BA714" s="453">
        <f t="shared" si="50"/>
        <v>0</v>
      </c>
      <c r="BB714" s="43"/>
      <c r="BC714" s="43"/>
      <c r="BD714" s="43"/>
      <c r="BE714" s="850">
        <f t="shared" si="51"/>
        <v>0</v>
      </c>
      <c r="BF714" s="854" t="str">
        <f t="shared" si="52"/>
        <v/>
      </c>
      <c r="BG714" s="855"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5"/>
        <v>0</v>
      </c>
      <c r="U715" s="1092"/>
      <c r="V715" s="1092"/>
      <c r="W715" s="1092"/>
      <c r="X715" s="1093"/>
      <c r="Y715" s="1088"/>
      <c r="Z715" s="1089"/>
      <c r="AA715" s="1089"/>
      <c r="AB715" s="1090"/>
      <c r="AC715" s="1091">
        <f t="shared" si="46"/>
        <v>0</v>
      </c>
      <c r="AD715" s="1092"/>
      <c r="AE715" s="1092"/>
      <c r="AF715" s="1092"/>
      <c r="AG715" s="1093"/>
      <c r="AH715" s="1094"/>
      <c r="AI715" s="1095"/>
      <c r="AJ715" s="1095"/>
      <c r="AK715" s="1095"/>
      <c r="AL715" s="1096"/>
      <c r="AM715" s="1076" t="str">
        <f t="shared" si="55"/>
        <v/>
      </c>
      <c r="AN715" s="1077"/>
      <c r="AO715" s="1078"/>
      <c r="AV715" s="43" t="str">
        <f t="shared" si="47"/>
        <v>N/A</v>
      </c>
      <c r="AX715" s="41"/>
      <c r="AY715" s="446">
        <f t="shared" si="48"/>
        <v>0</v>
      </c>
      <c r="AZ715" s="452">
        <f t="shared" si="49"/>
        <v>0</v>
      </c>
      <c r="BA715" s="453">
        <f t="shared" si="50"/>
        <v>0</v>
      </c>
      <c r="BB715" s="43"/>
      <c r="BC715" s="43"/>
      <c r="BD715" s="43"/>
      <c r="BE715" s="850">
        <f t="shared" si="51"/>
        <v>0</v>
      </c>
      <c r="BF715" s="854" t="str">
        <f t="shared" si="52"/>
        <v/>
      </c>
      <c r="BG715" s="855"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5"/>
        <v>0</v>
      </c>
      <c r="U716" s="1092"/>
      <c r="V716" s="1092"/>
      <c r="W716" s="1092"/>
      <c r="X716" s="1093"/>
      <c r="Y716" s="1088"/>
      <c r="Z716" s="1089"/>
      <c r="AA716" s="1089"/>
      <c r="AB716" s="1090"/>
      <c r="AC716" s="1091">
        <f t="shared" si="46"/>
        <v>0</v>
      </c>
      <c r="AD716" s="1092"/>
      <c r="AE716" s="1092"/>
      <c r="AF716" s="1092"/>
      <c r="AG716" s="1093"/>
      <c r="AH716" s="1094"/>
      <c r="AI716" s="1095"/>
      <c r="AJ716" s="1095"/>
      <c r="AK716" s="1095"/>
      <c r="AL716" s="1096"/>
      <c r="AM716" s="1076" t="str">
        <f t="shared" si="55"/>
        <v/>
      </c>
      <c r="AN716" s="1077"/>
      <c r="AO716" s="1078"/>
      <c r="AV716" s="43" t="str">
        <f t="shared" si="47"/>
        <v>N/A</v>
      </c>
      <c r="AX716" s="41"/>
      <c r="AY716" s="446">
        <f t="shared" si="48"/>
        <v>0</v>
      </c>
      <c r="AZ716" s="452">
        <f t="shared" si="49"/>
        <v>0</v>
      </c>
      <c r="BA716" s="453">
        <f t="shared" si="50"/>
        <v>0</v>
      </c>
      <c r="BB716" s="43"/>
      <c r="BC716" s="43"/>
      <c r="BD716" s="43"/>
      <c r="BE716" s="850">
        <f t="shared" si="51"/>
        <v>0</v>
      </c>
      <c r="BF716" s="854" t="str">
        <f t="shared" si="52"/>
        <v/>
      </c>
      <c r="BG716" s="855"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5"/>
        <v>0</v>
      </c>
      <c r="U717" s="1092"/>
      <c r="V717" s="1092"/>
      <c r="W717" s="1092"/>
      <c r="X717" s="1093"/>
      <c r="Y717" s="1088"/>
      <c r="Z717" s="1089"/>
      <c r="AA717" s="1089"/>
      <c r="AB717" s="1090"/>
      <c r="AC717" s="1091">
        <f t="shared" si="46"/>
        <v>0</v>
      </c>
      <c r="AD717" s="1092"/>
      <c r="AE717" s="1092"/>
      <c r="AF717" s="1092"/>
      <c r="AG717" s="1093"/>
      <c r="AH717" s="1094"/>
      <c r="AI717" s="1095"/>
      <c r="AJ717" s="1095"/>
      <c r="AK717" s="1095"/>
      <c r="AL717" s="1096"/>
      <c r="AM717" s="1076" t="str">
        <f t="shared" si="55"/>
        <v/>
      </c>
      <c r="AN717" s="1077"/>
      <c r="AO717" s="1078"/>
      <c r="AV717" s="43" t="str">
        <f t="shared" si="47"/>
        <v>N/A</v>
      </c>
      <c r="AX717" s="41"/>
      <c r="AY717" s="446">
        <f t="shared" si="48"/>
        <v>0</v>
      </c>
      <c r="AZ717" s="452">
        <f t="shared" si="49"/>
        <v>0</v>
      </c>
      <c r="BA717" s="453">
        <f t="shared" si="50"/>
        <v>0</v>
      </c>
      <c r="BB717" s="41"/>
      <c r="BC717" s="41"/>
      <c r="BD717" s="41"/>
      <c r="BE717" s="850">
        <f t="shared" si="51"/>
        <v>0</v>
      </c>
      <c r="BF717" s="854" t="str">
        <f t="shared" si="52"/>
        <v/>
      </c>
      <c r="BG717" s="855"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5"/>
        <v>0</v>
      </c>
      <c r="U718" s="1092"/>
      <c r="V718" s="1092"/>
      <c r="W718" s="1092"/>
      <c r="X718" s="1093"/>
      <c r="Y718" s="1088"/>
      <c r="Z718" s="1089"/>
      <c r="AA718" s="1089"/>
      <c r="AB718" s="1090"/>
      <c r="AC718" s="1091">
        <f t="shared" si="46"/>
        <v>0</v>
      </c>
      <c r="AD718" s="1092"/>
      <c r="AE718" s="1092"/>
      <c r="AF718" s="1092"/>
      <c r="AG718" s="1093"/>
      <c r="AH718" s="1094"/>
      <c r="AI718" s="1095"/>
      <c r="AJ718" s="1095"/>
      <c r="AK718" s="1095"/>
      <c r="AL718" s="1096"/>
      <c r="AM718" s="1076" t="str">
        <f t="shared" si="55"/>
        <v/>
      </c>
      <c r="AN718" s="1077"/>
      <c r="AO718" s="1078"/>
      <c r="AV718" s="43" t="str">
        <f t="shared" si="47"/>
        <v>N/A</v>
      </c>
      <c r="AX718" s="41"/>
      <c r="AY718" s="446">
        <f t="shared" si="48"/>
        <v>0</v>
      </c>
      <c r="AZ718" s="452">
        <f t="shared" si="49"/>
        <v>0</v>
      </c>
      <c r="BA718" s="453">
        <f t="shared" si="50"/>
        <v>0</v>
      </c>
      <c r="BB718" s="41"/>
      <c r="BC718" s="41"/>
      <c r="BD718" s="41"/>
      <c r="BE718" s="850">
        <f t="shared" si="51"/>
        <v>0</v>
      </c>
      <c r="BF718" s="854" t="str">
        <f t="shared" si="52"/>
        <v/>
      </c>
      <c r="BG718" s="855"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8">G719*O719</f>
        <v>0</v>
      </c>
      <c r="U719" s="1092"/>
      <c r="V719" s="1092"/>
      <c r="W719" s="1092"/>
      <c r="X719" s="1093"/>
      <c r="Y719" s="1088"/>
      <c r="Z719" s="1089"/>
      <c r="AA719" s="1089"/>
      <c r="AB719" s="1090"/>
      <c r="AC719" s="1091">
        <f t="shared" ref="AC719:AC728" si="59">O719+Y719</f>
        <v>0</v>
      </c>
      <c r="AD719" s="1092"/>
      <c r="AE719" s="1092"/>
      <c r="AF719" s="1092"/>
      <c r="AG719" s="1093"/>
      <c r="AH719" s="1094"/>
      <c r="AI719" s="1095"/>
      <c r="AJ719" s="1095"/>
      <c r="AK719" s="1095"/>
      <c r="AL719" s="1096"/>
      <c r="AM719" s="1076" t="str">
        <f t="shared" ref="AM719:AM728" si="60">IF($AH719&gt;0,($AC719/$AV719), "")</f>
        <v/>
      </c>
      <c r="AN719" s="1077"/>
      <c r="AO719" s="1078"/>
      <c r="AV719" s="43" t="str">
        <f t="shared" si="47"/>
        <v>N/A</v>
      </c>
      <c r="AY719" s="446">
        <f t="shared" ref="AY719:AY728" si="61">G719</f>
        <v>0</v>
      </c>
      <c r="AZ719" s="452">
        <f t="shared" ref="AZ719:AZ727" si="62">IF($AY$730=0,"",AY719/$AY$730)</f>
        <v>0</v>
      </c>
      <c r="BA719" s="453">
        <f t="shared" ref="BA719:BA728" si="63">IF(AZ719="","",AZ719*AH719)</f>
        <v>0</v>
      </c>
      <c r="BB719" s="41"/>
      <c r="BC719" s="41"/>
      <c r="BD719" s="41"/>
      <c r="BE719" s="850">
        <f t="shared" ref="BE719:BE728" si="64">G719</f>
        <v>0</v>
      </c>
      <c r="BF719" s="854" t="str">
        <f t="shared" ref="BF719:BF728" si="65">IF(BE719=0,"",BE719/$BE$730)</f>
        <v/>
      </c>
      <c r="BG719" s="855" t="str">
        <f t="shared" ref="BG719:BG728" si="66">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8"/>
        <v>0</v>
      </c>
      <c r="U720" s="1092"/>
      <c r="V720" s="1092"/>
      <c r="W720" s="1092"/>
      <c r="X720" s="1093"/>
      <c r="Y720" s="1088"/>
      <c r="Z720" s="1089"/>
      <c r="AA720" s="1089"/>
      <c r="AB720" s="1090"/>
      <c r="AC720" s="1091">
        <f t="shared" si="59"/>
        <v>0</v>
      </c>
      <c r="AD720" s="1092"/>
      <c r="AE720" s="1092"/>
      <c r="AF720" s="1092"/>
      <c r="AG720" s="1093"/>
      <c r="AH720" s="1094"/>
      <c r="AI720" s="1095"/>
      <c r="AJ720" s="1095"/>
      <c r="AK720" s="1095"/>
      <c r="AL720" s="1096"/>
      <c r="AM720" s="1076" t="str">
        <f t="shared" si="60"/>
        <v/>
      </c>
      <c r="AN720" s="1077"/>
      <c r="AO720" s="1078"/>
      <c r="AV720" s="43" t="str">
        <f t="shared" si="47"/>
        <v>N/A</v>
      </c>
      <c r="AY720" s="446">
        <f t="shared" si="61"/>
        <v>0</v>
      </c>
      <c r="AZ720" s="452">
        <f t="shared" si="62"/>
        <v>0</v>
      </c>
      <c r="BA720" s="453">
        <f t="shared" si="63"/>
        <v>0</v>
      </c>
      <c r="BB720" s="41"/>
      <c r="BC720" s="41"/>
      <c r="BD720" s="41"/>
      <c r="BE720" s="850">
        <f t="shared" si="64"/>
        <v>0</v>
      </c>
      <c r="BF720" s="854" t="str">
        <f t="shared" si="65"/>
        <v/>
      </c>
      <c r="BG720" s="855" t="str">
        <f t="shared" si="66"/>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8"/>
        <v>0</v>
      </c>
      <c r="U721" s="1092"/>
      <c r="V721" s="1092"/>
      <c r="W721" s="1092"/>
      <c r="X721" s="1093"/>
      <c r="Y721" s="1088"/>
      <c r="Z721" s="1089"/>
      <c r="AA721" s="1089"/>
      <c r="AB721" s="1090"/>
      <c r="AC721" s="1091">
        <f t="shared" si="59"/>
        <v>0</v>
      </c>
      <c r="AD721" s="1092"/>
      <c r="AE721" s="1092"/>
      <c r="AF721" s="1092"/>
      <c r="AG721" s="1093"/>
      <c r="AH721" s="1094"/>
      <c r="AI721" s="1095"/>
      <c r="AJ721" s="1095"/>
      <c r="AK721" s="1095"/>
      <c r="AL721" s="1096"/>
      <c r="AM721" s="1076" t="str">
        <f t="shared" si="60"/>
        <v/>
      </c>
      <c r="AN721" s="1077"/>
      <c r="AO721" s="1078"/>
      <c r="AV721" s="43" t="str">
        <f t="shared" si="47"/>
        <v>N/A</v>
      </c>
      <c r="AY721" s="446">
        <f t="shared" si="61"/>
        <v>0</v>
      </c>
      <c r="AZ721" s="452">
        <f t="shared" si="62"/>
        <v>0</v>
      </c>
      <c r="BA721" s="453">
        <f t="shared" si="63"/>
        <v>0</v>
      </c>
      <c r="BB721" s="41"/>
      <c r="BC721" s="41"/>
      <c r="BD721" s="41"/>
      <c r="BE721" s="850">
        <f t="shared" si="64"/>
        <v>0</v>
      </c>
      <c r="BF721" s="854" t="str">
        <f t="shared" si="65"/>
        <v/>
      </c>
      <c r="BG721" s="855" t="str">
        <f t="shared" si="66"/>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8"/>
        <v>0</v>
      </c>
      <c r="U722" s="1092"/>
      <c r="V722" s="1092"/>
      <c r="W722" s="1092"/>
      <c r="X722" s="1093"/>
      <c r="Y722" s="1088"/>
      <c r="Z722" s="1089"/>
      <c r="AA722" s="1089"/>
      <c r="AB722" s="1090"/>
      <c r="AC722" s="1091">
        <f t="shared" si="59"/>
        <v>0</v>
      </c>
      <c r="AD722" s="1092"/>
      <c r="AE722" s="1092"/>
      <c r="AF722" s="1092"/>
      <c r="AG722" s="1093"/>
      <c r="AH722" s="1094"/>
      <c r="AI722" s="1095"/>
      <c r="AJ722" s="1095"/>
      <c r="AK722" s="1095"/>
      <c r="AL722" s="1096"/>
      <c r="AM722" s="1076" t="str">
        <f t="shared" si="60"/>
        <v/>
      </c>
      <c r="AN722" s="1077"/>
      <c r="AO722" s="1078"/>
      <c r="AV722" s="43" t="str">
        <f t="shared" si="47"/>
        <v>N/A</v>
      </c>
      <c r="AY722" s="446">
        <f t="shared" si="61"/>
        <v>0</v>
      </c>
      <c r="AZ722" s="452">
        <f t="shared" si="62"/>
        <v>0</v>
      </c>
      <c r="BA722" s="453">
        <f t="shared" si="63"/>
        <v>0</v>
      </c>
      <c r="BB722" s="41"/>
      <c r="BC722" s="41"/>
      <c r="BD722" s="41"/>
      <c r="BE722" s="850">
        <f t="shared" si="64"/>
        <v>0</v>
      </c>
      <c r="BF722" s="854" t="str">
        <f t="shared" si="65"/>
        <v/>
      </c>
      <c r="BG722" s="855" t="str">
        <f t="shared" si="66"/>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8"/>
        <v>0</v>
      </c>
      <c r="U723" s="1092"/>
      <c r="V723" s="1092"/>
      <c r="W723" s="1092"/>
      <c r="X723" s="1093"/>
      <c r="Y723" s="1088"/>
      <c r="Z723" s="1089"/>
      <c r="AA723" s="1089"/>
      <c r="AB723" s="1090"/>
      <c r="AC723" s="1091">
        <f t="shared" si="59"/>
        <v>0</v>
      </c>
      <c r="AD723" s="1092"/>
      <c r="AE723" s="1092"/>
      <c r="AF723" s="1092"/>
      <c r="AG723" s="1093"/>
      <c r="AH723" s="1094"/>
      <c r="AI723" s="1095"/>
      <c r="AJ723" s="1095"/>
      <c r="AK723" s="1095"/>
      <c r="AL723" s="1096"/>
      <c r="AM723" s="1076" t="str">
        <f t="shared" si="60"/>
        <v/>
      </c>
      <c r="AN723" s="1077"/>
      <c r="AO723" s="1078"/>
      <c r="AV723" s="43" t="str">
        <f t="shared" si="47"/>
        <v>N/A</v>
      </c>
      <c r="AY723" s="446">
        <f t="shared" si="61"/>
        <v>0</v>
      </c>
      <c r="AZ723" s="452">
        <f t="shared" si="62"/>
        <v>0</v>
      </c>
      <c r="BA723" s="453">
        <f t="shared" si="63"/>
        <v>0</v>
      </c>
      <c r="BB723" s="41"/>
      <c r="BC723" s="41"/>
      <c r="BD723" s="41"/>
      <c r="BE723" s="850">
        <f t="shared" si="64"/>
        <v>0</v>
      </c>
      <c r="BF723" s="854" t="str">
        <f t="shared" si="65"/>
        <v/>
      </c>
      <c r="BG723" s="855" t="str">
        <f t="shared" si="66"/>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8"/>
        <v>0</v>
      </c>
      <c r="U724" s="1092"/>
      <c r="V724" s="1092"/>
      <c r="W724" s="1092"/>
      <c r="X724" s="1093"/>
      <c r="Y724" s="1088"/>
      <c r="Z724" s="1089"/>
      <c r="AA724" s="1089"/>
      <c r="AB724" s="1090"/>
      <c r="AC724" s="1091">
        <f t="shared" si="59"/>
        <v>0</v>
      </c>
      <c r="AD724" s="1092"/>
      <c r="AE724" s="1092"/>
      <c r="AF724" s="1092"/>
      <c r="AG724" s="1093"/>
      <c r="AH724" s="1094"/>
      <c r="AI724" s="1095"/>
      <c r="AJ724" s="1095"/>
      <c r="AK724" s="1095"/>
      <c r="AL724" s="1096"/>
      <c r="AM724" s="1076" t="str">
        <f t="shared" si="60"/>
        <v/>
      </c>
      <c r="AN724" s="1077"/>
      <c r="AO724" s="1078"/>
      <c r="AV724" s="43" t="str">
        <f t="shared" si="47"/>
        <v>N/A</v>
      </c>
      <c r="AY724" s="446">
        <f t="shared" si="61"/>
        <v>0</v>
      </c>
      <c r="AZ724" s="452">
        <f t="shared" si="62"/>
        <v>0</v>
      </c>
      <c r="BA724" s="453">
        <f t="shared" si="63"/>
        <v>0</v>
      </c>
      <c r="BB724" s="41"/>
      <c r="BC724" s="41"/>
      <c r="BD724" s="41"/>
      <c r="BE724" s="850">
        <f t="shared" si="64"/>
        <v>0</v>
      </c>
      <c r="BF724" s="854" t="str">
        <f t="shared" si="65"/>
        <v/>
      </c>
      <c r="BG724" s="855" t="str">
        <f t="shared" si="66"/>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8"/>
        <v>0</v>
      </c>
      <c r="U725" s="1092"/>
      <c r="V725" s="1092"/>
      <c r="W725" s="1092"/>
      <c r="X725" s="1093"/>
      <c r="Y725" s="1088"/>
      <c r="Z725" s="1089"/>
      <c r="AA725" s="1089"/>
      <c r="AB725" s="1090"/>
      <c r="AC725" s="1091">
        <f t="shared" si="59"/>
        <v>0</v>
      </c>
      <c r="AD725" s="1092"/>
      <c r="AE725" s="1092"/>
      <c r="AF725" s="1092"/>
      <c r="AG725" s="1093"/>
      <c r="AH725" s="1094"/>
      <c r="AI725" s="1095"/>
      <c r="AJ725" s="1095"/>
      <c r="AK725" s="1095"/>
      <c r="AL725" s="1096"/>
      <c r="AM725" s="1076" t="str">
        <f t="shared" si="60"/>
        <v/>
      </c>
      <c r="AN725" s="1077"/>
      <c r="AO725" s="1078"/>
      <c r="AV725" s="43" t="str">
        <f t="shared" si="47"/>
        <v>N/A</v>
      </c>
      <c r="AY725" s="446">
        <f t="shared" si="61"/>
        <v>0</v>
      </c>
      <c r="AZ725" s="452">
        <f t="shared" si="62"/>
        <v>0</v>
      </c>
      <c r="BA725" s="453">
        <f t="shared" si="63"/>
        <v>0</v>
      </c>
      <c r="BB725" s="41"/>
      <c r="BC725" s="41"/>
      <c r="BD725" s="41"/>
      <c r="BE725" s="850">
        <f t="shared" si="64"/>
        <v>0</v>
      </c>
      <c r="BF725" s="854" t="str">
        <f t="shared" si="65"/>
        <v/>
      </c>
      <c r="BG725" s="855" t="str">
        <f t="shared" si="66"/>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8"/>
        <v>0</v>
      </c>
      <c r="U726" s="1092"/>
      <c r="V726" s="1092"/>
      <c r="W726" s="1092"/>
      <c r="X726" s="1093"/>
      <c r="Y726" s="1088"/>
      <c r="Z726" s="1089"/>
      <c r="AA726" s="1089"/>
      <c r="AB726" s="1090"/>
      <c r="AC726" s="1091">
        <f t="shared" si="59"/>
        <v>0</v>
      </c>
      <c r="AD726" s="1092"/>
      <c r="AE726" s="1092"/>
      <c r="AF726" s="1092"/>
      <c r="AG726" s="1093"/>
      <c r="AH726" s="1094"/>
      <c r="AI726" s="1095"/>
      <c r="AJ726" s="1095"/>
      <c r="AK726" s="1095"/>
      <c r="AL726" s="1096"/>
      <c r="AM726" s="1076" t="str">
        <f t="shared" si="60"/>
        <v/>
      </c>
      <c r="AN726" s="1077"/>
      <c r="AO726" s="1078"/>
      <c r="AV726" s="43" t="str">
        <f t="shared" si="47"/>
        <v>N/A</v>
      </c>
      <c r="AY726" s="446">
        <f t="shared" si="61"/>
        <v>0</v>
      </c>
      <c r="AZ726" s="452">
        <f t="shared" si="62"/>
        <v>0</v>
      </c>
      <c r="BA726" s="453">
        <f t="shared" si="63"/>
        <v>0</v>
      </c>
      <c r="BB726" s="41"/>
      <c r="BC726" s="41"/>
      <c r="BD726" s="41"/>
      <c r="BE726" s="850">
        <f t="shared" si="64"/>
        <v>0</v>
      </c>
      <c r="BF726" s="854" t="str">
        <f t="shared" si="65"/>
        <v/>
      </c>
      <c r="BG726" s="855" t="str">
        <f t="shared" si="66"/>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8"/>
        <v>0</v>
      </c>
      <c r="U727" s="1092"/>
      <c r="V727" s="1092"/>
      <c r="W727" s="1092"/>
      <c r="X727" s="1093"/>
      <c r="Y727" s="1088"/>
      <c r="Z727" s="1089"/>
      <c r="AA727" s="1089"/>
      <c r="AB727" s="1090"/>
      <c r="AC727" s="1091">
        <f t="shared" si="59"/>
        <v>0</v>
      </c>
      <c r="AD727" s="1092"/>
      <c r="AE727" s="1092"/>
      <c r="AF727" s="1092"/>
      <c r="AG727" s="1093"/>
      <c r="AH727" s="1094"/>
      <c r="AI727" s="1095"/>
      <c r="AJ727" s="1095"/>
      <c r="AK727" s="1095"/>
      <c r="AL727" s="1096"/>
      <c r="AM727" s="1076" t="str">
        <f t="shared" si="60"/>
        <v/>
      </c>
      <c r="AN727" s="1077"/>
      <c r="AO727" s="1078"/>
      <c r="AV727" s="43" t="str">
        <f t="shared" si="47"/>
        <v>N/A</v>
      </c>
      <c r="AY727" s="446">
        <f t="shared" si="61"/>
        <v>0</v>
      </c>
      <c r="AZ727" s="452">
        <f t="shared" si="62"/>
        <v>0</v>
      </c>
      <c r="BA727" s="453">
        <f t="shared" si="63"/>
        <v>0</v>
      </c>
      <c r="BB727" s="41"/>
      <c r="BC727" s="41"/>
      <c r="BD727" s="41"/>
      <c r="BE727" s="850">
        <f t="shared" si="64"/>
        <v>0</v>
      </c>
      <c r="BF727" s="854" t="str">
        <f t="shared" si="65"/>
        <v/>
      </c>
      <c r="BG727" s="855" t="str">
        <f t="shared" si="66"/>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8"/>
        <v>0</v>
      </c>
      <c r="U728" s="1092"/>
      <c r="V728" s="1092"/>
      <c r="W728" s="1092"/>
      <c r="X728" s="1093"/>
      <c r="Y728" s="1088"/>
      <c r="Z728" s="1089"/>
      <c r="AA728" s="1089"/>
      <c r="AB728" s="1090"/>
      <c r="AC728" s="1091">
        <f t="shared" si="59"/>
        <v>0</v>
      </c>
      <c r="AD728" s="1092"/>
      <c r="AE728" s="1092"/>
      <c r="AF728" s="1092"/>
      <c r="AG728" s="1093"/>
      <c r="AH728" s="1094"/>
      <c r="AI728" s="1095"/>
      <c r="AJ728" s="1095"/>
      <c r="AK728" s="1095"/>
      <c r="AL728" s="1096"/>
      <c r="AM728" s="1076" t="str">
        <f t="shared" si="60"/>
        <v/>
      </c>
      <c r="AN728" s="1077"/>
      <c r="AO728" s="1078"/>
      <c r="AV728" s="43" t="str">
        <f t="shared" si="47"/>
        <v>N/A</v>
      </c>
      <c r="AY728" s="446">
        <f t="shared" si="61"/>
        <v>0</v>
      </c>
      <c r="AZ728" s="452">
        <f>IF($AY$730=0,"",AY728/$AY$730)</f>
        <v>0</v>
      </c>
      <c r="BA728" s="453">
        <f t="shared" si="63"/>
        <v>0</v>
      </c>
      <c r="BB728" s="41"/>
      <c r="BC728" s="41"/>
      <c r="BD728" s="41"/>
      <c r="BE728" s="850">
        <f t="shared" si="64"/>
        <v>0</v>
      </c>
      <c r="BF728" s="854" t="str">
        <f t="shared" si="65"/>
        <v/>
      </c>
      <c r="BG728" s="855" t="str">
        <f t="shared" si="66"/>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5"/>
        <v>0</v>
      </c>
      <c r="U729" s="1092"/>
      <c r="V729" s="1092"/>
      <c r="W729" s="1092"/>
      <c r="X729" s="1093"/>
      <c r="Y729" s="1088"/>
      <c r="Z729" s="1089"/>
      <c r="AA729" s="1089"/>
      <c r="AB729" s="1090"/>
      <c r="AC729" s="1091">
        <f t="shared" si="46"/>
        <v>0</v>
      </c>
      <c r="AD729" s="1092"/>
      <c r="AE729" s="1092"/>
      <c r="AF729" s="1092"/>
      <c r="AG729" s="1093"/>
      <c r="AH729" s="1094"/>
      <c r="AI729" s="1095"/>
      <c r="AJ729" s="1095"/>
      <c r="AK729" s="1095"/>
      <c r="AL729" s="1096"/>
      <c r="AM729" s="1076" t="str">
        <f>IF($AH729&gt;0,($AC729/$AV729), "")</f>
        <v/>
      </c>
      <c r="AN729" s="1077"/>
      <c r="AO729" s="1078"/>
      <c r="AV729" s="43" t="str">
        <f t="shared" si="47"/>
        <v>N/A</v>
      </c>
      <c r="AX729" s="41"/>
      <c r="AY729" s="447">
        <f>G729</f>
        <v>0</v>
      </c>
      <c r="AZ729" s="452">
        <f>IF($AY$730=0,"",AY729/$AY$730)</f>
        <v>0</v>
      </c>
      <c r="BA729" s="453">
        <f>IF(AZ729="","",AZ729*AH719)</f>
        <v>0</v>
      </c>
      <c r="BB729" s="41"/>
      <c r="BC729" s="41"/>
      <c r="BD729" s="41"/>
      <c r="BE729" s="853">
        <f>G729</f>
        <v>0</v>
      </c>
      <c r="BF729" s="854" t="str">
        <f>IF(BE729=0,"",BE729/$BE$730)</f>
        <v/>
      </c>
      <c r="BG729" s="855"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2" t="s">
        <v>877</v>
      </c>
      <c r="C730" s="1103"/>
      <c r="D730" s="1103"/>
      <c r="E730" s="1103"/>
      <c r="F730" s="1105"/>
      <c r="G730" s="1299">
        <f>SUM(G695:J729)</f>
        <v>71</v>
      </c>
      <c r="H730" s="1300"/>
      <c r="I730" s="1300"/>
      <c r="J730" s="1301"/>
      <c r="O730" s="430" t="s">
        <v>876</v>
      </c>
      <c r="P730" s="168"/>
      <c r="Q730" s="168"/>
      <c r="R730" s="168"/>
      <c r="S730" s="841"/>
      <c r="T730" s="1091">
        <f>SUM(T695:X729)</f>
        <v>59221</v>
      </c>
      <c r="U730" s="1092"/>
      <c r="V730" s="1092"/>
      <c r="W730" s="1092"/>
      <c r="X730" s="1093"/>
      <c r="AC730" s="842" t="s">
        <v>1139</v>
      </c>
      <c r="AD730" s="843"/>
      <c r="AE730" s="843"/>
      <c r="AF730" s="843"/>
      <c r="AG730" s="844"/>
      <c r="AH730" s="1507">
        <f>BA730</f>
        <v>0.495774647887324</v>
      </c>
      <c r="AI730" s="1508"/>
      <c r="AJ730" s="1508"/>
      <c r="AK730" s="1508"/>
      <c r="AL730" s="1509"/>
      <c r="AM730" s="1507">
        <f>IFERROR(BG730,0)</f>
        <v>0.495774647887324</v>
      </c>
      <c r="AN730" s="1508"/>
      <c r="AO730" s="1509"/>
      <c r="AX730" s="62" t="s">
        <v>875</v>
      </c>
      <c r="AY730" s="454">
        <f>SUM(AY695:AY729)</f>
        <v>71</v>
      </c>
      <c r="AZ730" s="455">
        <f>SUM(AZ695:AZ729)</f>
        <v>1</v>
      </c>
      <c r="BA730" s="455">
        <f>SUM(BA695:BA729)</f>
        <v>0.495774647887324</v>
      </c>
      <c r="BB730" s="41"/>
      <c r="BC730" s="41"/>
      <c r="BD730" s="41"/>
      <c r="BE730" s="851">
        <f>SUM(BE695:BE729)</f>
        <v>71</v>
      </c>
      <c r="BF730" s="852">
        <f>SUM(BF695:BF729)</f>
        <v>1</v>
      </c>
      <c r="BG730" s="852">
        <f>SUM(BG695:BG729)</f>
        <v>0.495774647887324</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09" t="s">
        <v>2059</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1"/>
      <c r="E733" s="921"/>
      <c r="F733" s="921"/>
      <c r="G733" s="922"/>
      <c r="H733" s="922"/>
      <c r="I733" s="922"/>
      <c r="J733" s="922"/>
      <c r="K733" s="921"/>
      <c r="L733" s="921"/>
      <c r="M733" s="921"/>
      <c r="N733" s="921"/>
      <c r="O733" s="1238">
        <f>CQ628</f>
        <v>136</v>
      </c>
      <c r="P733" s="1238"/>
      <c r="Q733" s="1238"/>
      <c r="R733" s="1238"/>
      <c r="S733" s="923"/>
      <c r="T733" s="923"/>
      <c r="U733" s="270" t="s">
        <v>2061</v>
      </c>
      <c r="V733" s="921"/>
      <c r="W733" s="921"/>
      <c r="X733" s="921"/>
      <c r="Y733" s="922"/>
      <c r="Z733" s="922"/>
      <c r="AA733" s="922"/>
      <c r="AB733" s="922"/>
      <c r="AC733" s="921"/>
      <c r="AD733" s="921"/>
      <c r="AE733" s="921"/>
      <c r="AF733" s="921"/>
      <c r="AG733" s="1304"/>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9" t="str">
        <f>IF(G730&lt;&gt;AG433,"! Total Low-Income Units in the Unit Mix Table above does not match the number of Total Low-Income Units on row #"&amp;TEXT(ROW(AG433),"#"),"")</f>
        <v/>
      </c>
      <c r="D734" s="1569"/>
      <c r="E734" s="1569"/>
      <c r="F734" s="1569"/>
      <c r="G734" s="1569"/>
      <c r="H734" s="1569"/>
      <c r="I734" s="1569"/>
      <c r="J734" s="1569"/>
      <c r="K734" s="1569"/>
      <c r="L734" s="1569"/>
      <c r="M734" s="1569"/>
      <c r="N734" s="1569"/>
      <c r="O734" s="1569"/>
      <c r="P734" s="1569"/>
      <c r="Q734" s="1569"/>
      <c r="R734" s="1569"/>
      <c r="S734" s="1569"/>
      <c r="T734" s="1569"/>
      <c r="U734" s="1569"/>
      <c r="V734" s="1569"/>
      <c r="W734" s="1569"/>
      <c r="X734" s="1569"/>
      <c r="Y734" s="1569"/>
      <c r="Z734" s="1569"/>
      <c r="AA734" s="1569"/>
      <c r="AB734" s="1569"/>
      <c r="AC734" s="1569"/>
      <c r="AD734" s="1569"/>
      <c r="AE734" s="1569"/>
      <c r="AF734" s="1569"/>
      <c r="AG734" s="1569"/>
      <c r="AH734" s="1569"/>
      <c r="AI734" s="1569"/>
      <c r="AJ734" s="1569"/>
      <c r="AK734" s="1569"/>
      <c r="AL734" s="1569"/>
      <c r="AM734" s="1569"/>
      <c r="AN734" s="1569"/>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9"/>
      <c r="D735" s="1569"/>
      <c r="E735" s="1569"/>
      <c r="F735" s="1569"/>
      <c r="G735" s="1569"/>
      <c r="H735" s="1569"/>
      <c r="I735" s="1569"/>
      <c r="J735" s="1569"/>
      <c r="K735" s="1569"/>
      <c r="L735" s="1569"/>
      <c r="M735" s="1569"/>
      <c r="N735" s="1569"/>
      <c r="O735" s="1569"/>
      <c r="P735" s="1569"/>
      <c r="Q735" s="1569"/>
      <c r="R735" s="1569"/>
      <c r="S735" s="1569"/>
      <c r="T735" s="1569"/>
      <c r="U735" s="1569"/>
      <c r="V735" s="1569"/>
      <c r="W735" s="1569"/>
      <c r="X735" s="1569"/>
      <c r="Y735" s="1569"/>
      <c r="Z735" s="1569"/>
      <c r="AA735" s="1569"/>
      <c r="AB735" s="1569"/>
      <c r="AC735" s="1569"/>
      <c r="AD735" s="1569"/>
      <c r="AE735" s="1569"/>
      <c r="AF735" s="1569"/>
      <c r="AG735" s="1569"/>
      <c r="AH735" s="1569"/>
      <c r="AI735" s="1569"/>
      <c r="AJ735" s="1569"/>
      <c r="AK735" s="1569"/>
      <c r="AL735" s="1569"/>
      <c r="AM735" s="1569"/>
      <c r="AN735" s="1569"/>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4"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3" t="s">
        <v>124</v>
      </c>
      <c r="AA736" s="1513"/>
      <c r="AB736" s="1513"/>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2057</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5" t="s">
        <v>54</v>
      </c>
      <c r="K748" s="1266"/>
      <c r="L748" s="1266"/>
      <c r="M748" s="1266"/>
      <c r="N748" s="1267"/>
      <c r="O748" s="1223" t="s">
        <v>256</v>
      </c>
      <c r="P748" s="1223"/>
      <c r="Q748" s="1223"/>
      <c r="R748" s="1223"/>
      <c r="S748" s="1223"/>
      <c r="T748" s="1456" t="s">
        <v>1993</v>
      </c>
      <c r="U748" s="1457"/>
      <c r="V748" s="1457"/>
      <c r="W748" s="1458"/>
      <c r="X748" s="1265" t="s">
        <v>589</v>
      </c>
      <c r="Y748" s="1266"/>
      <c r="Z748" s="1266"/>
      <c r="AA748" s="1266"/>
      <c r="AB748" s="1267"/>
      <c r="AC748" s="1265" t="s">
        <v>257</v>
      </c>
      <c r="AD748" s="1266"/>
      <c r="AE748" s="1266"/>
      <c r="AF748" s="1266"/>
      <c r="AG748" s="1267"/>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68"/>
      <c r="K749" s="1269"/>
      <c r="L749" s="1269"/>
      <c r="M749" s="1269"/>
      <c r="N749" s="1270"/>
      <c r="O749" s="1223"/>
      <c r="P749" s="1223"/>
      <c r="Q749" s="1223"/>
      <c r="R749" s="1223"/>
      <c r="S749" s="1223"/>
      <c r="T749" s="1459"/>
      <c r="U749" s="1460"/>
      <c r="V749" s="1460"/>
      <c r="W749" s="1461"/>
      <c r="X749" s="1268"/>
      <c r="Y749" s="1269"/>
      <c r="Z749" s="1269"/>
      <c r="AA749" s="1269"/>
      <c r="AB749" s="1270"/>
      <c r="AC749" s="1268"/>
      <c r="AD749" s="1269"/>
      <c r="AE749" s="1269"/>
      <c r="AF749" s="1269"/>
      <c r="AG749" s="127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68"/>
      <c r="K750" s="1269"/>
      <c r="L750" s="1269"/>
      <c r="M750" s="1269"/>
      <c r="N750" s="1270"/>
      <c r="O750" s="1223"/>
      <c r="P750" s="1223"/>
      <c r="Q750" s="1223"/>
      <c r="R750" s="1223"/>
      <c r="S750" s="1223"/>
      <c r="T750" s="1459"/>
      <c r="U750" s="1460"/>
      <c r="V750" s="1460"/>
      <c r="W750" s="1461"/>
      <c r="X750" s="1268"/>
      <c r="Y750" s="1269"/>
      <c r="Z750" s="1269"/>
      <c r="AA750" s="1269"/>
      <c r="AB750" s="1270"/>
      <c r="AC750" s="1268"/>
      <c r="AD750" s="1269"/>
      <c r="AE750" s="1269"/>
      <c r="AF750" s="1269"/>
      <c r="AG750" s="1270"/>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 customHeight="1">
      <c r="J751" s="1271"/>
      <c r="K751" s="1272"/>
      <c r="L751" s="1272"/>
      <c r="M751" s="1272"/>
      <c r="N751" s="1273"/>
      <c r="O751" s="1223"/>
      <c r="P751" s="1223"/>
      <c r="Q751" s="1223"/>
      <c r="R751" s="1223"/>
      <c r="S751" s="1223"/>
      <c r="T751" s="1510"/>
      <c r="U751" s="1511"/>
      <c r="V751" s="1511"/>
      <c r="W751" s="1512"/>
      <c r="X751" s="1271"/>
      <c r="Y751" s="1272"/>
      <c r="Z751" s="1272"/>
      <c r="AA751" s="1272"/>
      <c r="AB751" s="1273"/>
      <c r="AC751" s="1271"/>
      <c r="AD751" s="1272"/>
      <c r="AE751" s="1272"/>
      <c r="AF751" s="1272"/>
      <c r="AG751" s="1273"/>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 customHeight="1">
      <c r="J752" s="1079" t="s">
        <v>780</v>
      </c>
      <c r="K752" s="1080"/>
      <c r="L752" s="1080"/>
      <c r="M752" s="1080"/>
      <c r="N752" s="1081"/>
      <c r="O752" s="1239">
        <v>1</v>
      </c>
      <c r="P752" s="1239"/>
      <c r="Q752" s="1239"/>
      <c r="R752" s="1239"/>
      <c r="S752" s="1239"/>
      <c r="T752" s="1085">
        <v>868</v>
      </c>
      <c r="U752" s="1086"/>
      <c r="V752" s="1086"/>
      <c r="W752" s="1087"/>
      <c r="X752" s="1088">
        <v>0</v>
      </c>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79"/>
      <c r="K753" s="1080"/>
      <c r="L753" s="1080"/>
      <c r="M753" s="1080"/>
      <c r="N753" s="1081"/>
      <c r="O753" s="1239"/>
      <c r="P753" s="1239"/>
      <c r="Q753" s="1239"/>
      <c r="R753" s="1239"/>
      <c r="S753" s="1239"/>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79"/>
      <c r="K754" s="1080"/>
      <c r="L754" s="1080"/>
      <c r="M754" s="1080"/>
      <c r="N754" s="1081"/>
      <c r="O754" s="1239"/>
      <c r="P754" s="1239"/>
      <c r="Q754" s="1239"/>
      <c r="R754" s="1239"/>
      <c r="S754" s="1239"/>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79"/>
      <c r="K755" s="1080"/>
      <c r="L755" s="1080"/>
      <c r="M755" s="1080"/>
      <c r="N755" s="1081"/>
      <c r="O755" s="1239"/>
      <c r="P755" s="1239"/>
      <c r="Q755" s="1239"/>
      <c r="R755" s="1239"/>
      <c r="S755" s="1239"/>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2" t="s">
        <v>877</v>
      </c>
      <c r="K756" s="1103"/>
      <c r="L756" s="1103"/>
      <c r="M756" s="1103"/>
      <c r="N756" s="1105"/>
      <c r="O756" s="1074">
        <f>SUM(O752:S755)</f>
        <v>1</v>
      </c>
      <c r="P756" s="1303"/>
      <c r="Q756" s="1303"/>
      <c r="R756" s="1303"/>
      <c r="S756" s="1075"/>
      <c r="X756" s="1102" t="s">
        <v>876</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3" t="s">
        <v>482</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5" t="s">
        <v>54</v>
      </c>
      <c r="K762" s="1266"/>
      <c r="L762" s="1266"/>
      <c r="M762" s="1266"/>
      <c r="N762" s="1267"/>
      <c r="O762" s="1223" t="s">
        <v>256</v>
      </c>
      <c r="P762" s="1223"/>
      <c r="Q762" s="1223"/>
      <c r="R762" s="1223"/>
      <c r="S762" s="1223"/>
      <c r="T762" s="1456" t="s">
        <v>1993</v>
      </c>
      <c r="U762" s="1457"/>
      <c r="V762" s="1457"/>
      <c r="W762" s="1458"/>
      <c r="X762" s="1265" t="s">
        <v>589</v>
      </c>
      <c r="Y762" s="1266"/>
      <c r="Z762" s="1266"/>
      <c r="AA762" s="1266"/>
      <c r="AB762" s="1267"/>
      <c r="AC762" s="1265" t="s">
        <v>257</v>
      </c>
      <c r="AD762" s="1266"/>
      <c r="AE762" s="1266"/>
      <c r="AF762" s="1266"/>
      <c r="AG762" s="1267"/>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68"/>
      <c r="K763" s="1269"/>
      <c r="L763" s="1269"/>
      <c r="M763" s="1269"/>
      <c r="N763" s="1270"/>
      <c r="O763" s="1223"/>
      <c r="P763" s="1223"/>
      <c r="Q763" s="1223"/>
      <c r="R763" s="1223"/>
      <c r="S763" s="1223"/>
      <c r="T763" s="1459"/>
      <c r="U763" s="1460"/>
      <c r="V763" s="1460"/>
      <c r="W763" s="1461"/>
      <c r="X763" s="1268"/>
      <c r="Y763" s="1269"/>
      <c r="Z763" s="1269"/>
      <c r="AA763" s="1269"/>
      <c r="AB763" s="1270"/>
      <c r="AC763" s="1268"/>
      <c r="AD763" s="1269"/>
      <c r="AE763" s="1269"/>
      <c r="AF763" s="1269"/>
      <c r="AG763" s="1270"/>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68"/>
      <c r="K764" s="1269"/>
      <c r="L764" s="1269"/>
      <c r="M764" s="1269"/>
      <c r="N764" s="1270"/>
      <c r="O764" s="1223"/>
      <c r="P764" s="1223"/>
      <c r="Q764" s="1223"/>
      <c r="R764" s="1223"/>
      <c r="S764" s="1223"/>
      <c r="T764" s="1459"/>
      <c r="U764" s="1460"/>
      <c r="V764" s="1460"/>
      <c r="W764" s="1461"/>
      <c r="X764" s="1268"/>
      <c r="Y764" s="1269"/>
      <c r="Z764" s="1269"/>
      <c r="AA764" s="1269"/>
      <c r="AB764" s="1270"/>
      <c r="AC764" s="1268"/>
      <c r="AD764" s="1269"/>
      <c r="AE764" s="1269"/>
      <c r="AF764" s="1269"/>
      <c r="AG764" s="1270"/>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1"/>
      <c r="K765" s="1272"/>
      <c r="L765" s="1272"/>
      <c r="M765" s="1272"/>
      <c r="N765" s="1273"/>
      <c r="O765" s="1223"/>
      <c r="P765" s="1223"/>
      <c r="Q765" s="1223"/>
      <c r="R765" s="1223"/>
      <c r="S765" s="1223"/>
      <c r="T765" s="1510"/>
      <c r="U765" s="1511"/>
      <c r="V765" s="1511"/>
      <c r="W765" s="1512"/>
      <c r="X765" s="1271"/>
      <c r="Y765" s="1272"/>
      <c r="Z765" s="1272"/>
      <c r="AA765" s="1272"/>
      <c r="AB765" s="1273"/>
      <c r="AC765" s="1271"/>
      <c r="AD765" s="1272"/>
      <c r="AE765" s="1272"/>
      <c r="AF765" s="1272"/>
      <c r="AG765" s="1273"/>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79"/>
      <c r="K766" s="1080"/>
      <c r="L766" s="1080"/>
      <c r="M766" s="1080"/>
      <c r="N766" s="1081"/>
      <c r="O766" s="1239"/>
      <c r="P766" s="1239"/>
      <c r="Q766" s="1239"/>
      <c r="R766" s="1239"/>
      <c r="S766" s="1239"/>
      <c r="T766" s="1085"/>
      <c r="U766" s="1086"/>
      <c r="V766" s="1086"/>
      <c r="W766" s="1087"/>
      <c r="X766" s="1088"/>
      <c r="Y766" s="1089"/>
      <c r="Z766" s="1089"/>
      <c r="AA766" s="1089"/>
      <c r="AB766" s="1090"/>
      <c r="AC766" s="1091">
        <f t="shared" ref="AC766:AC775" si="67">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79"/>
      <c r="K767" s="1080"/>
      <c r="L767" s="1080"/>
      <c r="M767" s="1080"/>
      <c r="N767" s="1081"/>
      <c r="O767" s="1239"/>
      <c r="P767" s="1239"/>
      <c r="Q767" s="1239"/>
      <c r="R767" s="1239"/>
      <c r="S767" s="1239"/>
      <c r="T767" s="1085"/>
      <c r="U767" s="1086"/>
      <c r="V767" s="1086"/>
      <c r="W767" s="1087"/>
      <c r="X767" s="1088"/>
      <c r="Y767" s="1089"/>
      <c r="Z767" s="1089"/>
      <c r="AA767" s="1089"/>
      <c r="AB767" s="1090"/>
      <c r="AC767" s="1091">
        <f t="shared" si="67"/>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79"/>
      <c r="K768" s="1080"/>
      <c r="L768" s="1080"/>
      <c r="M768" s="1080"/>
      <c r="N768" s="1081"/>
      <c r="O768" s="1239"/>
      <c r="P768" s="1239"/>
      <c r="Q768" s="1239"/>
      <c r="R768" s="1239"/>
      <c r="S768" s="1239"/>
      <c r="T768" s="1085"/>
      <c r="U768" s="1086"/>
      <c r="V768" s="1086"/>
      <c r="W768" s="1087"/>
      <c r="X768" s="1088"/>
      <c r="Y768" s="1089"/>
      <c r="Z768" s="1089"/>
      <c r="AA768" s="1089"/>
      <c r="AB768" s="1090"/>
      <c r="AC768" s="1091">
        <f t="shared" si="67"/>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79"/>
      <c r="K769" s="1080"/>
      <c r="L769" s="1080"/>
      <c r="M769" s="1080"/>
      <c r="N769" s="1081"/>
      <c r="O769" s="1239"/>
      <c r="P769" s="1239"/>
      <c r="Q769" s="1239"/>
      <c r="R769" s="1239"/>
      <c r="S769" s="1239"/>
      <c r="T769" s="1085"/>
      <c r="U769" s="1086"/>
      <c r="V769" s="1086"/>
      <c r="W769" s="1087"/>
      <c r="X769" s="1088"/>
      <c r="Y769" s="1089"/>
      <c r="Z769" s="1089"/>
      <c r="AA769" s="1089"/>
      <c r="AB769" s="1090"/>
      <c r="AC769" s="1091">
        <f t="shared" si="67"/>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79"/>
      <c r="K770" s="1080"/>
      <c r="L770" s="1080"/>
      <c r="M770" s="1080"/>
      <c r="N770" s="1081"/>
      <c r="O770" s="1239"/>
      <c r="P770" s="1239"/>
      <c r="Q770" s="1239"/>
      <c r="R770" s="1239"/>
      <c r="S770" s="1239"/>
      <c r="T770" s="1085"/>
      <c r="U770" s="1086"/>
      <c r="V770" s="1086"/>
      <c r="W770" s="1087"/>
      <c r="X770" s="1088"/>
      <c r="Y770" s="1089"/>
      <c r="Z770" s="1089"/>
      <c r="AA770" s="1089"/>
      <c r="AB770" s="1090"/>
      <c r="AC770" s="1091">
        <f t="shared" si="67"/>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79"/>
      <c r="K771" s="1080"/>
      <c r="L771" s="1080"/>
      <c r="M771" s="1080"/>
      <c r="N771" s="1081"/>
      <c r="O771" s="1239"/>
      <c r="P771" s="1239"/>
      <c r="Q771" s="1239"/>
      <c r="R771" s="1239"/>
      <c r="S771" s="1239"/>
      <c r="T771" s="1085"/>
      <c r="U771" s="1086"/>
      <c r="V771" s="1086"/>
      <c r="W771" s="1087"/>
      <c r="X771" s="1088"/>
      <c r="Y771" s="1089"/>
      <c r="Z771" s="1089"/>
      <c r="AA771" s="1089"/>
      <c r="AB771" s="1090"/>
      <c r="AC771" s="1091">
        <f t="shared" si="67"/>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79"/>
      <c r="K772" s="1080"/>
      <c r="L772" s="1080"/>
      <c r="M772" s="1080"/>
      <c r="N772" s="1081"/>
      <c r="O772" s="1239"/>
      <c r="P772" s="1239"/>
      <c r="Q772" s="1239"/>
      <c r="R772" s="1239"/>
      <c r="S772" s="1239"/>
      <c r="T772" s="1085"/>
      <c r="U772" s="1086"/>
      <c r="V772" s="1086"/>
      <c r="W772" s="1087"/>
      <c r="X772" s="1088"/>
      <c r="Y772" s="1089"/>
      <c r="Z772" s="1089"/>
      <c r="AA772" s="1089"/>
      <c r="AB772" s="1090"/>
      <c r="AC772" s="1091">
        <f t="shared" si="67"/>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79"/>
      <c r="K773" s="1080"/>
      <c r="L773" s="1080"/>
      <c r="M773" s="1080"/>
      <c r="N773" s="1081"/>
      <c r="O773" s="1239"/>
      <c r="P773" s="1239"/>
      <c r="Q773" s="1239"/>
      <c r="R773" s="1239"/>
      <c r="S773" s="1239"/>
      <c r="T773" s="1085"/>
      <c r="U773" s="1086"/>
      <c r="V773" s="1086"/>
      <c r="W773" s="1087"/>
      <c r="X773" s="1088"/>
      <c r="Y773" s="1089"/>
      <c r="Z773" s="1089"/>
      <c r="AA773" s="1089"/>
      <c r="AB773" s="1090"/>
      <c r="AC773" s="1091">
        <f t="shared" si="67"/>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79"/>
      <c r="K774" s="1080"/>
      <c r="L774" s="1080"/>
      <c r="M774" s="1080"/>
      <c r="N774" s="1081"/>
      <c r="O774" s="1239"/>
      <c r="P774" s="1239"/>
      <c r="Q774" s="1239"/>
      <c r="R774" s="1239"/>
      <c r="S774" s="1239"/>
      <c r="T774" s="1085"/>
      <c r="U774" s="1086"/>
      <c r="V774" s="1086"/>
      <c r="W774" s="1087"/>
      <c r="X774" s="1088"/>
      <c r="Y774" s="1089"/>
      <c r="Z774" s="1089"/>
      <c r="AA774" s="1089"/>
      <c r="AB774" s="1090"/>
      <c r="AC774" s="1091">
        <f t="shared" si="67"/>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79"/>
      <c r="K775" s="1080"/>
      <c r="L775" s="1080"/>
      <c r="M775" s="1080"/>
      <c r="N775" s="1081"/>
      <c r="O775" s="1239"/>
      <c r="P775" s="1239"/>
      <c r="Q775" s="1239"/>
      <c r="R775" s="1239"/>
      <c r="S775" s="1239"/>
      <c r="T775" s="1085"/>
      <c r="U775" s="1086"/>
      <c r="V775" s="1086"/>
      <c r="W775" s="1087"/>
      <c r="X775" s="1088"/>
      <c r="Y775" s="1089"/>
      <c r="Z775" s="1089"/>
      <c r="AA775" s="1089"/>
      <c r="AB775" s="1090"/>
      <c r="AC775" s="1091">
        <f t="shared" si="67"/>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2" t="s">
        <v>877</v>
      </c>
      <c r="K776" s="1103"/>
      <c r="L776" s="1103"/>
      <c r="M776" s="1103"/>
      <c r="N776" s="1105"/>
      <c r="O776" s="1238">
        <f>SUM(O766:S775)</f>
        <v>0</v>
      </c>
      <c r="P776" s="1238"/>
      <c r="Q776" s="1238"/>
      <c r="R776" s="1238"/>
      <c r="S776" s="1238"/>
      <c r="X776" s="430" t="s">
        <v>876</v>
      </c>
      <c r="Y776" s="168"/>
      <c r="Z776" s="168"/>
      <c r="AA776" s="168"/>
      <c r="AB776" s="841"/>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9" t="str">
        <f>IF(O776&lt;&gt;AG431,"! Total market rate units in the Unit Mix Table above does not match the number of market rate units on row #"&amp;TEXT(ROW(AG431),"#"),"")</f>
        <v/>
      </c>
      <c r="D777" s="1569"/>
      <c r="E777" s="1569"/>
      <c r="F777" s="1569"/>
      <c r="G777" s="1569"/>
      <c r="H777" s="1569"/>
      <c r="I777" s="1569"/>
      <c r="J777" s="1569"/>
      <c r="K777" s="1569"/>
      <c r="L777" s="1569"/>
      <c r="M777" s="1569"/>
      <c r="N777" s="1569"/>
      <c r="O777" s="1569"/>
      <c r="P777" s="1569"/>
      <c r="Q777" s="1569"/>
      <c r="R777" s="1569"/>
      <c r="S777" s="1569"/>
      <c r="T777" s="1569"/>
      <c r="U777" s="1569"/>
      <c r="V777" s="1569"/>
      <c r="W777" s="1569"/>
      <c r="X777" s="1569"/>
      <c r="Y777" s="1569"/>
      <c r="Z777" s="1569"/>
      <c r="AA777" s="1569"/>
      <c r="AB777" s="1569"/>
      <c r="AC777" s="1569"/>
      <c r="AD777" s="1569"/>
      <c r="AE777" s="1569"/>
      <c r="AF777" s="1569"/>
      <c r="AG777" s="1569"/>
      <c r="AH777" s="1569"/>
      <c r="AI777" s="1569"/>
      <c r="AJ777" s="1569"/>
      <c r="AK777" s="1569"/>
      <c r="AL777" s="1569"/>
      <c r="AM777" s="1569"/>
      <c r="AN777" s="156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9"/>
      <c r="D778" s="1569"/>
      <c r="E778" s="1569"/>
      <c r="F778" s="1569"/>
      <c r="G778" s="1569"/>
      <c r="H778" s="1569"/>
      <c r="I778" s="1569"/>
      <c r="J778" s="1569"/>
      <c r="K778" s="1569"/>
      <c r="L778" s="1569"/>
      <c r="M778" s="1569"/>
      <c r="N778" s="1569"/>
      <c r="O778" s="1569"/>
      <c r="P778" s="1569"/>
      <c r="Q778" s="1569"/>
      <c r="R778" s="1569"/>
      <c r="S778" s="1569"/>
      <c r="T778" s="1569"/>
      <c r="U778" s="1569"/>
      <c r="V778" s="1569"/>
      <c r="W778" s="1569"/>
      <c r="X778" s="1569"/>
      <c r="Y778" s="1569"/>
      <c r="Z778" s="1569"/>
      <c r="AA778" s="1569"/>
      <c r="AB778" s="1569"/>
      <c r="AC778" s="1569"/>
      <c r="AD778" s="1569"/>
      <c r="AE778" s="1569"/>
      <c r="AF778" s="1569"/>
      <c r="AG778" s="1569"/>
      <c r="AH778" s="1569"/>
      <c r="AI778" s="1569"/>
      <c r="AJ778" s="1569"/>
      <c r="AK778" s="1569"/>
      <c r="AL778" s="1569"/>
      <c r="AM778" s="1569"/>
      <c r="AN778" s="156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97">
        <f>T730+AC756+AC776</f>
        <v>59221</v>
      </c>
      <c r="Z779" s="1297"/>
      <c r="AA779" s="1297"/>
      <c r="AB779" s="1297"/>
      <c r="AC779" s="129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97">
        <f>(T730+AC756+AC776)*12</f>
        <v>710652</v>
      </c>
      <c r="Z780" s="1297"/>
      <c r="AA780" s="1297"/>
      <c r="AB780" s="1297"/>
      <c r="AC780" s="129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1">
        <v>25</v>
      </c>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7">
        <v>20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55">
        <v>52597</v>
      </c>
      <c r="AA787" s="1258"/>
      <c r="AB787" s="1258"/>
      <c r="AC787" s="1258"/>
      <c r="AD787" s="1258"/>
      <c r="AE787" s="125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294">
        <f>'Subsidy Contract Calculation'!I40</f>
        <v>278340</v>
      </c>
      <c r="AA788" s="1295"/>
      <c r="AB788" s="1295"/>
      <c r="AC788" s="1295"/>
      <c r="AD788" s="1295"/>
      <c r="AE788" s="129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15">
        <v>10650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298"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26">
        <f>SUM(Z792:AE795)</f>
        <v>10650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26">
        <f>Z796+Y780+Z788</f>
        <v>999642</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3" t="s">
        <v>694</v>
      </c>
      <c r="D804" s="1184"/>
      <c r="E804" s="1184"/>
      <c r="F804" s="1184"/>
      <c r="G804" s="1184"/>
      <c r="H804" s="1184"/>
      <c r="I804" s="54"/>
      <c r="J804" s="54"/>
      <c r="K804" s="54"/>
      <c r="L804" s="55"/>
      <c r="M804" s="1180"/>
      <c r="N804" s="1180"/>
      <c r="O804" s="1180"/>
      <c r="P804" s="1180"/>
      <c r="Q804" s="1180">
        <v>29</v>
      </c>
      <c r="R804" s="1180"/>
      <c r="S804" s="1180"/>
      <c r="T804" s="1180"/>
      <c r="U804" s="1180">
        <v>40</v>
      </c>
      <c r="V804" s="1180"/>
      <c r="W804" s="1180"/>
      <c r="X804" s="1180"/>
      <c r="Y804" s="1180">
        <v>48</v>
      </c>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1" t="s">
        <v>695</v>
      </c>
      <c r="D805" s="1182"/>
      <c r="E805" s="1182"/>
      <c r="F805" s="1182"/>
      <c r="G805" s="1182"/>
      <c r="H805" s="1182"/>
      <c r="I805" s="9"/>
      <c r="J805" s="9"/>
      <c r="K805" s="9"/>
      <c r="L805" s="52"/>
      <c r="M805" s="1180"/>
      <c r="N805" s="1180"/>
      <c r="O805" s="1180"/>
      <c r="P805" s="1180"/>
      <c r="Q805" s="1180">
        <v>19</v>
      </c>
      <c r="R805" s="1180"/>
      <c r="S805" s="1180"/>
      <c r="T805" s="1180"/>
      <c r="U805" s="1180">
        <v>30</v>
      </c>
      <c r="V805" s="1180"/>
      <c r="W805" s="1180"/>
      <c r="X805" s="1180"/>
      <c r="Y805" s="1180">
        <v>36</v>
      </c>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1" t="s">
        <v>71</v>
      </c>
      <c r="D806" s="1182"/>
      <c r="E806" s="1182"/>
      <c r="F806" s="1182"/>
      <c r="G806" s="1182"/>
      <c r="H806" s="1182"/>
      <c r="I806" s="66"/>
      <c r="J806" s="66"/>
      <c r="K806" s="66"/>
      <c r="L806" s="67"/>
      <c r="M806" s="1180"/>
      <c r="N806" s="1180"/>
      <c r="O806" s="1180"/>
      <c r="P806" s="1180"/>
      <c r="Q806" s="1180">
        <v>19</v>
      </c>
      <c r="R806" s="1180"/>
      <c r="S806" s="1180"/>
      <c r="T806" s="1180"/>
      <c r="U806" s="1180">
        <v>22</v>
      </c>
      <c r="V806" s="1180"/>
      <c r="W806" s="1180"/>
      <c r="X806" s="1180"/>
      <c r="Y806" s="1180">
        <v>25</v>
      </c>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1" t="s">
        <v>790</v>
      </c>
      <c r="D808" s="1182"/>
      <c r="E808" s="1182"/>
      <c r="F808" s="1182"/>
      <c r="G808" s="1182"/>
      <c r="H808" s="1182"/>
      <c r="I808" s="66"/>
      <c r="J808" s="66"/>
      <c r="K808" s="66"/>
      <c r="L808" s="67"/>
      <c r="M808" s="1180"/>
      <c r="N808" s="1180"/>
      <c r="O808" s="1180"/>
      <c r="P808" s="1180"/>
      <c r="Q808" s="1180">
        <f>33+11</f>
        <v>44</v>
      </c>
      <c r="R808" s="1180"/>
      <c r="S808" s="1180"/>
      <c r="T808" s="1180"/>
      <c r="U808" s="1180">
        <f>41+11</f>
        <v>52</v>
      </c>
      <c r="V808" s="1180"/>
      <c r="W808" s="1180"/>
      <c r="X808" s="1180"/>
      <c r="Y808" s="1180">
        <f>46+11</f>
        <v>57</v>
      </c>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57" t="s">
        <v>2427</v>
      </c>
      <c r="G810" s="1158"/>
      <c r="H810" s="1158"/>
      <c r="I810" s="1158"/>
      <c r="J810" s="1158"/>
      <c r="K810" s="1158"/>
      <c r="L810" s="1158"/>
      <c r="M810" s="1180"/>
      <c r="N810" s="1180"/>
      <c r="O810" s="1180"/>
      <c r="P810" s="1180"/>
      <c r="Q810" s="1180">
        <v>16</v>
      </c>
      <c r="R810" s="1180"/>
      <c r="S810" s="1180"/>
      <c r="T810" s="1180"/>
      <c r="U810" s="1180">
        <v>21</v>
      </c>
      <c r="V810" s="1180"/>
      <c r="W810" s="1180"/>
      <c r="X810" s="1180"/>
      <c r="Y810" s="1180">
        <v>25</v>
      </c>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2" t="s">
        <v>876</v>
      </c>
      <c r="D811" s="1103"/>
      <c r="E811" s="1103"/>
      <c r="F811" s="1103"/>
      <c r="G811" s="1103"/>
      <c r="H811" s="1103"/>
      <c r="I811" s="1103"/>
      <c r="J811" s="1103"/>
      <c r="K811" s="1103"/>
      <c r="L811" s="1105"/>
      <c r="M811" s="1293">
        <f>SUM(M804:P810)</f>
        <v>0</v>
      </c>
      <c r="N811" s="1293"/>
      <c r="O811" s="1293"/>
      <c r="P811" s="1293"/>
      <c r="Q811" s="1293">
        <f>SUM(Q804:T810)</f>
        <v>127</v>
      </c>
      <c r="R811" s="1293"/>
      <c r="S811" s="1293"/>
      <c r="T811" s="1293"/>
      <c r="U811" s="1293">
        <f>SUM(U804:X810)</f>
        <v>165</v>
      </c>
      <c r="V811" s="1293"/>
      <c r="W811" s="1293"/>
      <c r="X811" s="1293"/>
      <c r="Y811" s="1293">
        <f>SUM(Y804:AB810)</f>
        <v>191</v>
      </c>
      <c r="Z811" s="1293"/>
      <c r="AA811" s="1293"/>
      <c r="AB811" s="1293"/>
      <c r="AC811" s="1293">
        <f>SUM(AC804:AF810)</f>
        <v>0</v>
      </c>
      <c r="AD811" s="1293"/>
      <c r="AE811" s="1293"/>
      <c r="AF811" s="1293"/>
      <c r="AG811" s="1293">
        <f>SUM(AG804:AJ810)</f>
        <v>0</v>
      </c>
      <c r="AH811" s="1293"/>
      <c r="AI811" s="1293"/>
      <c r="AJ811" s="129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5" t="s">
        <v>2428</v>
      </c>
      <c r="D816" s="1526"/>
      <c r="E816" s="1526"/>
      <c r="F816" s="1526"/>
      <c r="G816" s="1526"/>
      <c r="H816" s="1526"/>
      <c r="I816" s="1526"/>
      <c r="J816" s="1526"/>
      <c r="K816" s="1526"/>
      <c r="L816" s="1526"/>
      <c r="M816" s="1526"/>
      <c r="N816" s="1526"/>
      <c r="O816" s="1526"/>
      <c r="P816" s="1526"/>
      <c r="Q816" s="1526"/>
      <c r="R816" s="1526"/>
      <c r="S816" s="1526"/>
      <c r="T816" s="1526"/>
      <c r="U816" s="1526"/>
      <c r="V816" s="1526"/>
      <c r="W816" s="1526"/>
      <c r="X816" s="1526"/>
      <c r="Y816" s="1526"/>
      <c r="Z816" s="1526"/>
      <c r="AA816" s="1526"/>
      <c r="AB816" s="1526"/>
      <c r="AC816" s="1526"/>
      <c r="AD816" s="1526"/>
      <c r="AE816" s="1526"/>
      <c r="AF816" s="1526"/>
      <c r="AG816" s="1526"/>
      <c r="AH816" s="1526"/>
      <c r="AI816" s="1526"/>
      <c r="AJ816" s="152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8">
        <v>650</v>
      </c>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8">
        <f>6885+2304</f>
        <v>9189</v>
      </c>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8">
        <v>7500</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57" t="s">
        <v>2470</v>
      </c>
      <c r="N825" s="1158"/>
      <c r="O825" s="1158"/>
      <c r="P825" s="1158"/>
      <c r="Q825" s="1158"/>
      <c r="R825" s="1158"/>
      <c r="S825" s="1158"/>
      <c r="T825" s="1158"/>
      <c r="U825" s="1158"/>
      <c r="V825" s="1159"/>
      <c r="W825" s="1218">
        <v>15784</v>
      </c>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Butte</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26">
        <f>SUM(W821:AC825)</f>
        <v>33123</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5">
        <v>51120</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75"/>
      <c r="X830" s="1275"/>
      <c r="Y830" s="1275"/>
      <c r="Z830" s="1275"/>
      <c r="AA830" s="1275"/>
      <c r="AB830" s="1275"/>
      <c r="AC830" s="127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75">
        <v>19717</v>
      </c>
      <c r="X831" s="1275"/>
      <c r="Y831" s="1275"/>
      <c r="Z831" s="1275"/>
      <c r="AA831" s="1275"/>
      <c r="AB831" s="1275"/>
      <c r="AC831" s="127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75">
        <v>7015</v>
      </c>
      <c r="X832" s="1275"/>
      <c r="Y832" s="1275"/>
      <c r="Z832" s="1275"/>
      <c r="AA832" s="1275"/>
      <c r="AB832" s="1275"/>
      <c r="AC832" s="127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75">
        <v>52808</v>
      </c>
      <c r="X833" s="1275"/>
      <c r="Y833" s="1275"/>
      <c r="Z833" s="1275"/>
      <c r="AA833" s="1275"/>
      <c r="AB833" s="1275"/>
      <c r="AC833" s="127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4">
        <f>SUM(W830:AC833)</f>
        <v>79540</v>
      </c>
      <c r="X834" s="1274"/>
      <c r="Y834" s="1274"/>
      <c r="Z834" s="1274"/>
      <c r="AA834" s="1274"/>
      <c r="AB834" s="1274"/>
      <c r="AC834" s="1274"/>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4">
        <v>43000</v>
      </c>
      <c r="X836" s="1515"/>
      <c r="Y836" s="1515"/>
      <c r="Z836" s="1515"/>
      <c r="AA836" s="1515"/>
      <c r="AB836" s="1515"/>
      <c r="AC836" s="1516"/>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519">
        <v>1</v>
      </c>
      <c r="U837" s="1520"/>
      <c r="V837" s="1521"/>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14">
        <v>58780</v>
      </c>
      <c r="X838" s="1515"/>
      <c r="Y838" s="1515"/>
      <c r="Z838" s="1515"/>
      <c r="AA838" s="1515"/>
      <c r="AB838" s="1515"/>
      <c r="AC838" s="1516"/>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519">
        <v>1</v>
      </c>
      <c r="U839" s="1520"/>
      <c r="V839" s="1521"/>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57" t="s">
        <v>867</v>
      </c>
      <c r="N840" s="1158"/>
      <c r="O840" s="1158"/>
      <c r="P840" s="1158"/>
      <c r="Q840" s="1158"/>
      <c r="R840" s="1158"/>
      <c r="S840" s="1158"/>
      <c r="T840" s="1158"/>
      <c r="U840" s="1158"/>
      <c r="V840" s="1159"/>
      <c r="W840" s="1514">
        <v>8861</v>
      </c>
      <c r="X840" s="1515"/>
      <c r="Y840" s="1515"/>
      <c r="Z840" s="1515"/>
      <c r="AA840" s="1515"/>
      <c r="AB840" s="1515"/>
      <c r="AC840" s="1516"/>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5">
        <f>SUM(W836:AC840)</f>
        <v>110641</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4">
        <f>70000+10000+10518</f>
        <v>90518</v>
      </c>
      <c r="X842" s="1515"/>
      <c r="Y842" s="1515"/>
      <c r="Z842" s="1515"/>
      <c r="AA842" s="1515"/>
      <c r="AB842" s="1515"/>
      <c r="AC842" s="1516"/>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8">
        <v>6098</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8">
        <v>41973</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8">
        <v>24188</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8">
        <v>8341</v>
      </c>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8">
        <v>18627</v>
      </c>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57" t="s">
        <v>2432</v>
      </c>
      <c r="N850" s="1158"/>
      <c r="O850" s="1158"/>
      <c r="P850" s="1158"/>
      <c r="Q850" s="1158"/>
      <c r="R850" s="1158"/>
      <c r="S850" s="1158"/>
      <c r="T850" s="1158"/>
      <c r="U850" s="1158"/>
      <c r="V850" s="1159"/>
      <c r="W850" s="1218">
        <v>30000</v>
      </c>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97">
        <f>SUM(W844:AC850)</f>
        <v>129227</v>
      </c>
      <c r="X851" s="1297"/>
      <c r="Y851" s="1297"/>
      <c r="Z851" s="1297"/>
      <c r="AA851" s="1297"/>
      <c r="AB851" s="1297"/>
      <c r="AC851" s="129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157"/>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157"/>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57"/>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57"/>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57"/>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494169</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5">
        <f>O776+O756+G730</f>
        <v>72</v>
      </c>
      <c r="AD863" s="1536"/>
      <c r="AE863" s="1536"/>
      <c r="AF863" s="1536"/>
      <c r="AG863" s="1536"/>
      <c r="AH863" s="1537"/>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7">
        <f>IF(ISERROR((ROUNDDOWN(AC862/AC863,0))),0,(ROUNDDOWN(AC862/AC863,0)))</f>
        <v>6863</v>
      </c>
      <c r="AD864" s="1518"/>
      <c r="AE864" s="1518"/>
      <c r="AF864" s="1518"/>
      <c r="AG864" s="1518"/>
      <c r="AH864" s="1518"/>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f>'Sources and Uses Budget'!C74</f>
        <v>225376.89</v>
      </c>
      <c r="AD865" s="1529"/>
      <c r="AE865" s="1529"/>
      <c r="AF865" s="1529"/>
      <c r="AG865" s="1529"/>
      <c r="AH865" s="1529"/>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v>45000</v>
      </c>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v>35000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5">
        <v>5000</v>
      </c>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v>1323</v>
      </c>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4" t="s">
        <v>1209</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4" t="s">
        <v>1209</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8"/>
      <c r="AD874" s="1528"/>
      <c r="AE874" s="1528"/>
      <c r="AF874" s="1528"/>
      <c r="AG874" s="1528"/>
      <c r="AH874" s="1528"/>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8" t="s">
        <v>56</v>
      </c>
      <c r="AC894" s="1538"/>
      <c r="AD894" s="1538"/>
      <c r="AE894" s="1538"/>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1" t="s">
        <v>158</v>
      </c>
      <c r="G895" s="1312"/>
      <c r="H895" s="1312"/>
      <c r="I895" s="1312"/>
      <c r="J895" s="1312"/>
      <c r="K895" s="1312"/>
      <c r="L895" s="1312"/>
      <c r="M895" s="1312"/>
      <c r="N895" s="1312"/>
      <c r="O895" s="1312"/>
      <c r="P895" s="1312"/>
      <c r="Q895" s="1312"/>
      <c r="R895" s="1312"/>
      <c r="S895" s="1312"/>
      <c r="T895" s="1313"/>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1" t="s">
        <v>160</v>
      </c>
      <c r="G896" s="1312"/>
      <c r="H896" s="1312"/>
      <c r="I896" s="1312"/>
      <c r="J896" s="1312"/>
      <c r="K896" s="1312"/>
      <c r="L896" s="1312"/>
      <c r="M896" s="1312"/>
      <c r="N896" s="1312"/>
      <c r="O896" s="1312"/>
      <c r="P896" s="1312"/>
      <c r="Q896" s="1312"/>
      <c r="R896" s="1312"/>
      <c r="S896" s="1312"/>
      <c r="T896" s="1313"/>
      <c r="U896" s="1212" t="s">
        <v>108</v>
      </c>
      <c r="V896" s="1142"/>
      <c r="W896" s="1142"/>
      <c r="X896" s="1142"/>
      <c r="Y896" s="1142"/>
      <c r="Z896" s="1143"/>
      <c r="AA896" s="1172">
        <f>AO622</f>
        <v>13497650</v>
      </c>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9" t="s">
        <v>946</v>
      </c>
      <c r="G897" s="1540"/>
      <c r="H897" s="1540"/>
      <c r="I897" s="1540"/>
      <c r="J897" s="1540"/>
      <c r="K897" s="1540"/>
      <c r="L897" s="1540"/>
      <c r="M897" s="1540"/>
      <c r="N897" s="1540"/>
      <c r="O897" s="1540"/>
      <c r="P897" s="1540"/>
      <c r="Q897" s="1540"/>
      <c r="R897" s="1540"/>
      <c r="S897" s="1540"/>
      <c r="T897" s="1541"/>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9" t="s">
        <v>947</v>
      </c>
      <c r="G898" s="1540"/>
      <c r="H898" s="1540"/>
      <c r="I898" s="1540"/>
      <c r="J898" s="1540"/>
      <c r="K898" s="1540"/>
      <c r="L898" s="1540"/>
      <c r="M898" s="1540"/>
      <c r="N898" s="1540"/>
      <c r="O898" s="1540"/>
      <c r="P898" s="1540"/>
      <c r="Q898" s="1540"/>
      <c r="R898" s="1540"/>
      <c r="S898" s="1540"/>
      <c r="T898" s="1541"/>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9" t="s">
        <v>948</v>
      </c>
      <c r="G899" s="1540"/>
      <c r="H899" s="1540"/>
      <c r="I899" s="1540"/>
      <c r="J899" s="1540"/>
      <c r="K899" s="1540"/>
      <c r="L899" s="1540"/>
      <c r="M899" s="1540"/>
      <c r="N899" s="1540"/>
      <c r="O899" s="1540"/>
      <c r="P899" s="1540"/>
      <c r="Q899" s="1540"/>
      <c r="R899" s="1540"/>
      <c r="S899" s="1540"/>
      <c r="T899" s="1541"/>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1" t="s">
        <v>159</v>
      </c>
      <c r="G900" s="1312"/>
      <c r="H900" s="1312"/>
      <c r="I900" s="1312"/>
      <c r="J900" s="1312"/>
      <c r="K900" s="1312"/>
      <c r="L900" s="1312"/>
      <c r="M900" s="1312"/>
      <c r="N900" s="1312"/>
      <c r="O900" s="1312"/>
      <c r="P900" s="1312"/>
      <c r="Q900" s="1312"/>
      <c r="R900" s="1312"/>
      <c r="S900" s="1312"/>
      <c r="T900" s="1313"/>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1" t="s">
        <v>2285</v>
      </c>
      <c r="G901" s="1312"/>
      <c r="H901" s="1312"/>
      <c r="I901" s="1312"/>
      <c r="J901" s="1312"/>
      <c r="K901" s="1312"/>
      <c r="L901" s="1312"/>
      <c r="M901" s="1312"/>
      <c r="N901" s="1312"/>
      <c r="O901" s="1312"/>
      <c r="P901" s="1312"/>
      <c r="Q901" s="1312"/>
      <c r="R901" s="1312"/>
      <c r="S901" s="1312"/>
      <c r="T901" s="1313"/>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1" t="s">
        <v>161</v>
      </c>
      <c r="G902" s="1312"/>
      <c r="H902" s="1312"/>
      <c r="I902" s="1312"/>
      <c r="J902" s="1312"/>
      <c r="K902" s="1312"/>
      <c r="L902" s="1312"/>
      <c r="M902" s="1312"/>
      <c r="N902" s="1312"/>
      <c r="O902" s="1312"/>
      <c r="P902" s="1312"/>
      <c r="Q902" s="1312"/>
      <c r="R902" s="1312"/>
      <c r="S902" s="1312"/>
      <c r="T902" s="1313"/>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1" t="s">
        <v>2282</v>
      </c>
      <c r="G903" s="1312"/>
      <c r="H903" s="1312"/>
      <c r="I903" s="1312"/>
      <c r="J903" s="1312"/>
      <c r="K903" s="1312"/>
      <c r="L903" s="1312"/>
      <c r="M903" s="1312"/>
      <c r="N903" s="1312"/>
      <c r="O903" s="1312"/>
      <c r="P903" s="1312"/>
      <c r="Q903" s="1312"/>
      <c r="R903" s="1312"/>
      <c r="S903" s="1312"/>
      <c r="T903" s="1313"/>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1" t="s">
        <v>2283</v>
      </c>
      <c r="G904" s="1312"/>
      <c r="H904" s="1312"/>
      <c r="I904" s="1312"/>
      <c r="J904" s="1312"/>
      <c r="K904" s="1312"/>
      <c r="L904" s="1312"/>
      <c r="M904" s="1312"/>
      <c r="N904" s="1312"/>
      <c r="O904" s="1312"/>
      <c r="P904" s="1312"/>
      <c r="Q904" s="1312"/>
      <c r="R904" s="1312"/>
      <c r="S904" s="1312"/>
      <c r="T904" s="1313"/>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1" t="s">
        <v>2284</v>
      </c>
      <c r="G905" s="1312"/>
      <c r="H905" s="1312"/>
      <c r="I905" s="1312"/>
      <c r="J905" s="1312"/>
      <c r="K905" s="1312"/>
      <c r="L905" s="1312"/>
      <c r="M905" s="1312"/>
      <c r="N905" s="1312"/>
      <c r="O905" s="1312"/>
      <c r="P905" s="1312"/>
      <c r="Q905" s="1312"/>
      <c r="R905" s="1312"/>
      <c r="S905" s="1312"/>
      <c r="T905" s="1313"/>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1" t="s">
        <v>2278</v>
      </c>
      <c r="G906" s="1312"/>
      <c r="H906" s="1312"/>
      <c r="I906" s="1312"/>
      <c r="J906" s="1312"/>
      <c r="K906" s="1312"/>
      <c r="L906" s="1312"/>
      <c r="M906" s="1312"/>
      <c r="N906" s="1312"/>
      <c r="O906" s="1312"/>
      <c r="P906" s="1312"/>
      <c r="Q906" s="1312"/>
      <c r="R906" s="1312"/>
      <c r="S906" s="1312"/>
      <c r="T906" s="1313"/>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1" t="s">
        <v>2275</v>
      </c>
      <c r="G907" s="1312"/>
      <c r="H907" s="1312"/>
      <c r="I907" s="1312"/>
      <c r="J907" s="1312"/>
      <c r="K907" s="1312"/>
      <c r="L907" s="1312"/>
      <c r="M907" s="1312"/>
      <c r="N907" s="1312"/>
      <c r="O907" s="1312"/>
      <c r="P907" s="1312"/>
      <c r="Q907" s="1312"/>
      <c r="R907" s="1312"/>
      <c r="S907" s="1312"/>
      <c r="T907" s="1313"/>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6" t="s">
        <v>157</v>
      </c>
      <c r="G908" s="1577"/>
      <c r="H908" s="1577"/>
      <c r="I908" s="1577"/>
      <c r="J908" s="1577"/>
      <c r="K908" s="1577"/>
      <c r="L908" s="1577"/>
      <c r="M908" s="1577"/>
      <c r="N908" s="1577"/>
      <c r="O908" s="1577"/>
      <c r="P908" s="1577"/>
      <c r="Q908" s="1577"/>
      <c r="R908" s="1577"/>
      <c r="S908" s="1577"/>
      <c r="T908" s="1578"/>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1" t="s">
        <v>1904</v>
      </c>
      <c r="G909" s="1312"/>
      <c r="H909" s="1312"/>
      <c r="I909" s="1312"/>
      <c r="J909" s="1312"/>
      <c r="K909" s="1312"/>
      <c r="L909" s="1312"/>
      <c r="M909" s="1312"/>
      <c r="N909" s="1312"/>
      <c r="O909" s="1312"/>
      <c r="P909" s="1312"/>
      <c r="Q909" s="1312"/>
      <c r="R909" s="1312"/>
      <c r="S909" s="1312"/>
      <c r="T909" s="1313"/>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9" t="s">
        <v>1008</v>
      </c>
      <c r="G910" s="1540"/>
      <c r="H910" s="1540"/>
      <c r="I910" s="1540"/>
      <c r="J910" s="1540"/>
      <c r="K910" s="1540"/>
      <c r="L910" s="1540"/>
      <c r="M910" s="1540"/>
      <c r="N910" s="1540"/>
      <c r="O910" s="1540"/>
      <c r="P910" s="1540"/>
      <c r="Q910" s="1540"/>
      <c r="R910" s="1540"/>
      <c r="S910" s="1540"/>
      <c r="T910" s="1541"/>
      <c r="U910" s="1212"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4" t="s">
        <v>2286</v>
      </c>
      <c r="G911" s="1565"/>
      <c r="H911" s="1565"/>
      <c r="I911" s="1565"/>
      <c r="J911" s="1565"/>
      <c r="K911" s="1565"/>
      <c r="L911" s="1565"/>
      <c r="M911" s="1565"/>
      <c r="N911" s="1565"/>
      <c r="O911" s="1565"/>
      <c r="P911" s="1565"/>
      <c r="Q911" s="1565"/>
      <c r="R911" s="1565"/>
      <c r="S911" s="1565"/>
      <c r="T911" s="1566"/>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4" t="s">
        <v>2288</v>
      </c>
      <c r="G912" s="1565"/>
      <c r="H912" s="1565"/>
      <c r="I912" s="1565"/>
      <c r="J912" s="1565"/>
      <c r="K912" s="1565"/>
      <c r="L912" s="1565"/>
      <c r="M912" s="1565"/>
      <c r="N912" s="1565"/>
      <c r="O912" s="1565"/>
      <c r="P912" s="1565"/>
      <c r="Q912" s="1565"/>
      <c r="R912" s="1565"/>
      <c r="S912" s="1565"/>
      <c r="T912" s="1566"/>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1" t="s">
        <v>2276</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2"/>
      <c r="AB913" s="1263"/>
      <c r="AC913" s="1263"/>
      <c r="AD913" s="1263"/>
      <c r="AE913" s="1263"/>
      <c r="AF913" s="1264"/>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1" t="s">
        <v>2280</v>
      </c>
      <c r="G914" s="1312"/>
      <c r="H914" s="1312"/>
      <c r="I914" s="1312"/>
      <c r="J914" s="1312"/>
      <c r="K914" s="1312"/>
      <c r="L914" s="1312"/>
      <c r="M914" s="1312"/>
      <c r="N914" s="1312"/>
      <c r="O914" s="1312"/>
      <c r="P914" s="1312"/>
      <c r="Q914" s="1312"/>
      <c r="R914" s="1312"/>
      <c r="S914" s="1312"/>
      <c r="T914" s="1313"/>
      <c r="U914" s="1308" t="s">
        <v>124</v>
      </c>
      <c r="V914" s="1309"/>
      <c r="W914" s="1309"/>
      <c r="X914" s="1309"/>
      <c r="Y914" s="1309"/>
      <c r="Z914" s="1310"/>
      <c r="AA914" s="1262"/>
      <c r="AB914" s="1263"/>
      <c r="AC914" s="1263"/>
      <c r="AD914" s="1263"/>
      <c r="AE914" s="1263"/>
      <c r="AF914" s="1264"/>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1" t="s">
        <v>2277</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2"/>
      <c r="AB915" s="1263"/>
      <c r="AC915" s="1263"/>
      <c r="AD915" s="1263"/>
      <c r="AE915" s="1263"/>
      <c r="AF915" s="1264"/>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4" t="s">
        <v>1902</v>
      </c>
      <c r="G916" s="1565"/>
      <c r="H916" s="1565"/>
      <c r="I916" s="1565"/>
      <c r="J916" s="1565"/>
      <c r="K916" s="1565"/>
      <c r="L916" s="1565"/>
      <c r="M916" s="1565"/>
      <c r="N916" s="1565"/>
      <c r="O916" s="1565"/>
      <c r="P916" s="1565"/>
      <c r="Q916" s="1565"/>
      <c r="R916" s="1565"/>
      <c r="S916" s="1565"/>
      <c r="T916" s="1566"/>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4" t="s">
        <v>2289</v>
      </c>
      <c r="G917" s="1565"/>
      <c r="H917" s="1565"/>
      <c r="I917" s="1565"/>
      <c r="J917" s="1565"/>
      <c r="K917" s="1565"/>
      <c r="L917" s="1565"/>
      <c r="M917" s="1565"/>
      <c r="N917" s="1565"/>
      <c r="O917" s="1565"/>
      <c r="P917" s="1565"/>
      <c r="Q917" s="1565"/>
      <c r="R917" s="1565"/>
      <c r="S917" s="1565"/>
      <c r="T917" s="1566"/>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4" t="s">
        <v>1903</v>
      </c>
      <c r="G918" s="1565"/>
      <c r="H918" s="1565"/>
      <c r="I918" s="1565"/>
      <c r="J918" s="1565"/>
      <c r="K918" s="1565"/>
      <c r="L918" s="1565"/>
      <c r="M918" s="1565"/>
      <c r="N918" s="1565"/>
      <c r="O918" s="1565"/>
      <c r="P918" s="1565"/>
      <c r="Q918" s="1565"/>
      <c r="R918" s="1565"/>
      <c r="S918" s="1565"/>
      <c r="T918" s="1566"/>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4" t="s">
        <v>156</v>
      </c>
      <c r="G919" s="1565"/>
      <c r="H919" s="1565"/>
      <c r="I919" s="1565"/>
      <c r="J919" s="1565"/>
      <c r="K919" s="1565"/>
      <c r="L919" s="1565"/>
      <c r="M919" s="1565"/>
      <c r="N919" s="1565"/>
      <c r="O919" s="1565"/>
      <c r="P919" s="1565"/>
      <c r="Q919" s="1565"/>
      <c r="R919" s="1565"/>
      <c r="S919" s="1565"/>
      <c r="T919" s="1566"/>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4" t="s">
        <v>2287</v>
      </c>
      <c r="G920" s="1565"/>
      <c r="H920" s="1565"/>
      <c r="I920" s="1565"/>
      <c r="J920" s="1565"/>
      <c r="K920" s="1565"/>
      <c r="L920" s="1565"/>
      <c r="M920" s="1565"/>
      <c r="N920" s="1565"/>
      <c r="O920" s="1565"/>
      <c r="P920" s="1565"/>
      <c r="Q920" s="1565"/>
      <c r="R920" s="1565"/>
      <c r="S920" s="1565"/>
      <c r="T920" s="1566"/>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79"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1" t="s">
        <v>2279</v>
      </c>
      <c r="G922" s="1312"/>
      <c r="H922" s="1313"/>
      <c r="I922" s="1157" t="s">
        <v>562</v>
      </c>
      <c r="J922" s="1255"/>
      <c r="K922" s="1255"/>
      <c r="L922" s="1255"/>
      <c r="M922" s="1255"/>
      <c r="N922" s="1255"/>
      <c r="O922" s="1255"/>
      <c r="P922" s="1255"/>
      <c r="Q922" s="1255"/>
      <c r="R922" s="1255"/>
      <c r="S922" s="1255"/>
      <c r="T922" s="1256"/>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1" t="s">
        <v>373</v>
      </c>
      <c r="G923" s="1312"/>
      <c r="H923" s="1313"/>
      <c r="I923" s="1157" t="s">
        <v>562</v>
      </c>
      <c r="J923" s="1255"/>
      <c r="K923" s="1255"/>
      <c r="L923" s="1255"/>
      <c r="M923" s="1255"/>
      <c r="N923" s="1255"/>
      <c r="O923" s="1255"/>
      <c r="P923" s="1255"/>
      <c r="Q923" s="1255"/>
      <c r="R923" s="1255"/>
      <c r="S923" s="1255"/>
      <c r="T923" s="1256"/>
      <c r="U923" s="1212" t="s">
        <v>124</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1" t="s">
        <v>826</v>
      </c>
      <c r="G924" s="1312"/>
      <c r="H924" s="1313"/>
      <c r="I924" s="1157" t="s">
        <v>562</v>
      </c>
      <c r="J924" s="1255"/>
      <c r="K924" s="1255"/>
      <c r="L924" s="1255"/>
      <c r="M924" s="1255"/>
      <c r="N924" s="1255"/>
      <c r="O924" s="1255"/>
      <c r="P924" s="1255"/>
      <c r="Q924" s="1255"/>
      <c r="R924" s="1255"/>
      <c r="S924" s="1255"/>
      <c r="T924" s="1256"/>
      <c r="U924" s="1212" t="s">
        <v>124</v>
      </c>
      <c r="V924" s="1142"/>
      <c r="W924" s="1142"/>
      <c r="X924" s="1142"/>
      <c r="Y924" s="1142"/>
      <c r="Z924" s="1143"/>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1" t="s">
        <v>283</v>
      </c>
      <c r="G925" s="1312"/>
      <c r="H925" s="1313"/>
      <c r="I925" s="1157" t="s">
        <v>562</v>
      </c>
      <c r="J925" s="1255"/>
      <c r="K925" s="1255"/>
      <c r="L925" s="1255"/>
      <c r="M925" s="1255"/>
      <c r="N925" s="1255"/>
      <c r="O925" s="1255"/>
      <c r="P925" s="1255"/>
      <c r="Q925" s="1255"/>
      <c r="R925" s="1255"/>
      <c r="S925" s="1255"/>
      <c r="T925" s="1256"/>
      <c r="U925" s="1212" t="s">
        <v>124</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1" t="s">
        <v>283</v>
      </c>
      <c r="G926" s="1312"/>
      <c r="H926" s="1313"/>
      <c r="I926" s="1157" t="s">
        <v>562</v>
      </c>
      <c r="J926" s="1255"/>
      <c r="K926" s="1255"/>
      <c r="L926" s="1255"/>
      <c r="M926" s="1255"/>
      <c r="N926" s="1255"/>
      <c r="O926" s="1255"/>
      <c r="P926" s="1255"/>
      <c r="Q926" s="1255"/>
      <c r="R926" s="1255"/>
      <c r="S926" s="1255"/>
      <c r="T926" s="1256"/>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453" t="s">
        <v>2471</v>
      </c>
      <c r="M931" s="1352"/>
      <c r="N931" s="1352"/>
      <c r="O931" s="1352"/>
      <c r="P931" s="1352"/>
      <c r="Q931" s="1352"/>
      <c r="R931" s="1352"/>
      <c r="S931" s="1454"/>
      <c r="U931" s="72" t="s">
        <v>827</v>
      </c>
      <c r="V931" s="9"/>
      <c r="W931" s="9"/>
      <c r="X931" s="9"/>
      <c r="Y931" s="9"/>
      <c r="Z931" s="9"/>
      <c r="AA931" s="9"/>
      <c r="AB931" s="9"/>
      <c r="AC931" s="9"/>
      <c r="AD931" s="52"/>
      <c r="AE931" s="1257"/>
      <c r="AF931" s="1258"/>
      <c r="AG931" s="1258"/>
      <c r="AH931" s="1258"/>
      <c r="AI931" s="1258"/>
      <c r="AJ931" s="1258"/>
      <c r="AK931" s="125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453" t="s">
        <v>2429</v>
      </c>
      <c r="M932" s="1352"/>
      <c r="N932" s="1352"/>
      <c r="O932" s="1352"/>
      <c r="P932" s="1352"/>
      <c r="Q932" s="1352"/>
      <c r="R932" s="1352"/>
      <c r="S932" s="1454"/>
      <c r="U932" s="72" t="s">
        <v>828</v>
      </c>
      <c r="V932" s="9"/>
      <c r="W932" s="9"/>
      <c r="X932" s="9"/>
      <c r="Y932" s="9"/>
      <c r="Z932" s="9"/>
      <c r="AA932" s="9"/>
      <c r="AB932" s="9"/>
      <c r="AC932" s="9"/>
      <c r="AD932" s="52"/>
      <c r="AE932" s="1260"/>
      <c r="AF932" s="1147"/>
      <c r="AG932" s="1147"/>
      <c r="AH932" s="1147"/>
      <c r="AI932" s="1147"/>
      <c r="AJ932" s="1147"/>
      <c r="AK932" s="1261"/>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160" t="s">
        <v>2430</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194">
        <v>0.352112676056338</v>
      </c>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88">
        <v>25</v>
      </c>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15">
        <f>'Subsidy Contract Calculation'!F40</f>
        <v>468216</v>
      </c>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15">
        <f>L938*L936</f>
        <v>9364320</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188">
        <v>20</v>
      </c>
      <c r="M938" s="1189"/>
      <c r="N938" s="1189"/>
      <c r="O938" s="1189"/>
      <c r="P938" s="1189"/>
      <c r="Q938" s="1189"/>
      <c r="R938" s="1189"/>
      <c r="S938" s="1190"/>
      <c r="U938" s="214" t="s">
        <v>1971</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126" t="s">
        <v>124</v>
      </c>
      <c r="N945" s="1054"/>
      <c r="O945" s="1054"/>
      <c r="P945" s="1054"/>
      <c r="Q945" s="1054"/>
      <c r="R945" s="1054"/>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78"/>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160" t="s">
        <v>79</v>
      </c>
      <c r="N948" s="1161"/>
      <c r="O948" s="1161"/>
      <c r="P948" s="1161"/>
      <c r="Q948" s="1161"/>
      <c r="R948" s="1161"/>
      <c r="S948" s="1162"/>
      <c r="T948" s="1393"/>
      <c r="U948" s="1394"/>
      <c r="V948" s="1394"/>
      <c r="W948" s="1394"/>
      <c r="X948" s="1394"/>
      <c r="Y948" s="1394"/>
      <c r="Z948" s="1395"/>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78"/>
      <c r="N949" s="1114"/>
      <c r="O949" s="1114"/>
      <c r="P949" s="1114"/>
      <c r="Q949" s="1114"/>
      <c r="R949" s="1114"/>
      <c r="S949" s="1179"/>
      <c r="T949" s="1393"/>
      <c r="U949" s="1394"/>
      <c r="V949" s="1394"/>
      <c r="W949" s="1394"/>
      <c r="X949" s="1394"/>
      <c r="Y949" s="1394"/>
      <c r="Z949" s="1395"/>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26" t="s">
        <v>482</v>
      </c>
      <c r="P950" s="1127"/>
      <c r="Q950" s="146"/>
      <c r="R950" s="146"/>
      <c r="S950" s="147"/>
      <c r="T950" s="6" t="s">
        <v>283</v>
      </c>
      <c r="U950" s="7"/>
      <c r="V950" s="7"/>
      <c r="W950" s="1388" t="s">
        <v>562</v>
      </c>
      <c r="X950" s="1389"/>
      <c r="Y950" s="1389"/>
      <c r="Z950" s="1389"/>
      <c r="AA950" s="1389"/>
      <c r="AB950" s="1389"/>
      <c r="AC950" s="1389"/>
      <c r="AD950" s="1389"/>
      <c r="AE950" s="1389"/>
      <c r="AF950" s="1389"/>
      <c r="AG950" s="139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3" t="s">
        <v>226</v>
      </c>
      <c r="G951" s="1184"/>
      <c r="H951" s="1184"/>
      <c r="I951" s="1184"/>
      <c r="J951" s="1184"/>
      <c r="K951" s="1184"/>
      <c r="L951" s="1184"/>
      <c r="M951" s="1178"/>
      <c r="N951" s="1114"/>
      <c r="O951" s="1114"/>
      <c r="P951" s="1114"/>
      <c r="Q951" s="1114"/>
      <c r="R951" s="1114"/>
      <c r="S951" s="1179"/>
      <c r="T951" s="53"/>
      <c r="U951" s="54"/>
      <c r="V951" s="54"/>
      <c r="W951" s="54"/>
      <c r="X951" s="54"/>
      <c r="Y951" s="54"/>
      <c r="Z951" s="226" t="s">
        <v>227</v>
      </c>
      <c r="AA951" s="1391"/>
      <c r="AB951" s="1318"/>
      <c r="AC951" s="1318"/>
      <c r="AD951" s="1318"/>
      <c r="AE951" s="1318"/>
      <c r="AF951" s="1318"/>
      <c r="AG951" s="139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59"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7"/>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319236</v>
      </c>
      <c r="S961" s="1254"/>
      <c r="T961" s="1254"/>
      <c r="U961" s="1254"/>
      <c r="V961" s="1254"/>
      <c r="W961" s="1254"/>
      <c r="X961" s="1254"/>
      <c r="Y961" s="1254"/>
      <c r="Z961" s="1254"/>
      <c r="AA961" s="1254"/>
      <c r="AB961" s="1373">
        <f>BN651</f>
        <v>0</v>
      </c>
      <c r="AC961" s="1374"/>
      <c r="AD961" s="1374"/>
      <c r="AE961" s="1374"/>
      <c r="AF961" s="1374"/>
      <c r="AG961" s="1374"/>
      <c r="AH961" s="1374"/>
      <c r="AI961" s="1375"/>
      <c r="AJ961" s="1229">
        <f>IF(ISERROR((R961*AB961)),0,(R961*AB961))</f>
        <v>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368076</v>
      </c>
      <c r="S962" s="1254"/>
      <c r="T962" s="1254"/>
      <c r="U962" s="1254"/>
      <c r="V962" s="1254"/>
      <c r="W962" s="1254"/>
      <c r="X962" s="1254"/>
      <c r="Y962" s="1254"/>
      <c r="Z962" s="1254"/>
      <c r="AA962" s="1254"/>
      <c r="AB962" s="1373">
        <f>BS651</f>
        <v>24</v>
      </c>
      <c r="AC962" s="1374"/>
      <c r="AD962" s="1374"/>
      <c r="AE962" s="1374"/>
      <c r="AF962" s="1374"/>
      <c r="AG962" s="1374"/>
      <c r="AH962" s="1374"/>
      <c r="AI962" s="1375"/>
      <c r="AJ962" s="1229">
        <f>IF(ISERROR((R962*AB962)),0,(R962*AB962))</f>
        <v>8833824</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444000</v>
      </c>
      <c r="S963" s="1254"/>
      <c r="T963" s="1254"/>
      <c r="U963" s="1254"/>
      <c r="V963" s="1254"/>
      <c r="W963" s="1254"/>
      <c r="X963" s="1254"/>
      <c r="Y963" s="1254"/>
      <c r="Z963" s="1254"/>
      <c r="AA963" s="1254"/>
      <c r="AB963" s="1373">
        <f>BX651</f>
        <v>30</v>
      </c>
      <c r="AC963" s="1374"/>
      <c r="AD963" s="1374"/>
      <c r="AE963" s="1374"/>
      <c r="AF963" s="1374"/>
      <c r="AG963" s="1374"/>
      <c r="AH963" s="1374"/>
      <c r="AI963" s="1375"/>
      <c r="AJ963" s="1229">
        <f>IF(ISERROR((R963*AB963)),0,(R963*AB963))</f>
        <v>13320000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568320</v>
      </c>
      <c r="S964" s="1254"/>
      <c r="T964" s="1254"/>
      <c r="U964" s="1254"/>
      <c r="V964" s="1254"/>
      <c r="W964" s="1254"/>
      <c r="X964" s="1254"/>
      <c r="Y964" s="1254"/>
      <c r="Z964" s="1254"/>
      <c r="AA964" s="1254"/>
      <c r="AB964" s="1373">
        <f>CC651</f>
        <v>18</v>
      </c>
      <c r="AC964" s="1374"/>
      <c r="AD964" s="1374"/>
      <c r="AE964" s="1374"/>
      <c r="AF964" s="1374"/>
      <c r="AG964" s="1374"/>
      <c r="AH964" s="1374"/>
      <c r="AI964" s="1375"/>
      <c r="AJ964" s="1229">
        <f>IF(ISERROR((R964*AB964)),0,(R964*AB964))</f>
        <v>10229760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633144</v>
      </c>
      <c r="S965" s="1254"/>
      <c r="T965" s="1254"/>
      <c r="U965" s="1254"/>
      <c r="V965" s="1254"/>
      <c r="W965" s="1254"/>
      <c r="X965" s="1254"/>
      <c r="Y965" s="1254"/>
      <c r="Z965" s="1254"/>
      <c r="AA965" s="1254"/>
      <c r="AB965" s="1373">
        <f>CM651+CH651</f>
        <v>0</v>
      </c>
      <c r="AC965" s="1374"/>
      <c r="AD965" s="1374"/>
      <c r="AE965" s="1374"/>
      <c r="AF965" s="1374"/>
      <c r="AG965" s="1374"/>
      <c r="AH965" s="1374"/>
      <c r="AI965" s="1375"/>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1" t="s">
        <v>960</v>
      </c>
      <c r="C966" s="1562"/>
      <c r="D966" s="1562"/>
      <c r="E966" s="1562"/>
      <c r="F966" s="1562"/>
      <c r="G966" s="1562"/>
      <c r="H966" s="1562"/>
      <c r="I966" s="1562"/>
      <c r="J966" s="1562"/>
      <c r="K966" s="1562"/>
      <c r="L966" s="1562"/>
      <c r="M966" s="1562"/>
      <c r="N966" s="1562"/>
      <c r="O966" s="1562"/>
      <c r="P966" s="1562"/>
      <c r="Q966" s="1562"/>
      <c r="R966" s="1562"/>
      <c r="S966" s="1562"/>
      <c r="T966" s="1562"/>
      <c r="U966" s="1562"/>
      <c r="V966" s="1562"/>
      <c r="W966" s="1562"/>
      <c r="X966" s="1562"/>
      <c r="Y966" s="1562"/>
      <c r="Z966" s="1562"/>
      <c r="AA966" s="1563"/>
      <c r="AB966" s="1373">
        <f>SUM(AB961:AI965)</f>
        <v>72</v>
      </c>
      <c r="AC966" s="1374"/>
      <c r="AD966" s="1374"/>
      <c r="AE966" s="1374"/>
      <c r="AF966" s="1374"/>
      <c r="AG966" s="1374"/>
      <c r="AH966" s="1374"/>
      <c r="AI966" s="1375"/>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6" t="s">
        <v>747</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29">
        <f>SUM(AJ961:AQ965)</f>
        <v>32383584</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6" t="s">
        <v>479</v>
      </c>
      <c r="AG968" s="1397"/>
      <c r="AH968" s="1397"/>
      <c r="AI968" s="1398"/>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8" t="s">
        <v>481</v>
      </c>
      <c r="D969" s="1202" t="s">
        <v>1889</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9" t="s">
        <v>108</v>
      </c>
      <c r="AH969" s="1560"/>
      <c r="AI969" s="85"/>
      <c r="AJ969" s="1361">
        <f>ROUND(IF(AND(AG969="yes",D975&lt;&gt;""),AJ967*0.2,0),0)</f>
        <v>6476717</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9"/>
      <c r="C970" s="860"/>
      <c r="D970" s="1245" t="s">
        <v>2273</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9"/>
      <c r="C971" s="860"/>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9"/>
      <c r="C972" s="860"/>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9"/>
      <c r="C973" s="860"/>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9"/>
      <c r="C974" s="860"/>
      <c r="D974" s="1248" t="s">
        <v>2274</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9"/>
      <c r="C975" s="860"/>
      <c r="D975" s="1385" t="s">
        <v>2431</v>
      </c>
      <c r="E975" s="1386"/>
      <c r="F975" s="1386"/>
      <c r="G975" s="1386"/>
      <c r="H975" s="1386"/>
      <c r="I975" s="1386"/>
      <c r="J975" s="1386"/>
      <c r="K975" s="1386"/>
      <c r="L975" s="1386"/>
      <c r="M975" s="1386"/>
      <c r="N975" s="1386"/>
      <c r="O975" s="1386"/>
      <c r="P975" s="1386"/>
      <c r="Q975" s="1386"/>
      <c r="R975" s="1386"/>
      <c r="S975" s="1386"/>
      <c r="T975" s="1386"/>
      <c r="U975" s="1386"/>
      <c r="V975" s="1386"/>
      <c r="W975" s="1386"/>
      <c r="X975" s="1386"/>
      <c r="Y975" s="1386"/>
      <c r="Z975" s="1386"/>
      <c r="AA975" s="1386"/>
      <c r="AB975" s="1386"/>
      <c r="AC975" s="1386"/>
      <c r="AD975" s="1386"/>
      <c r="AE975" s="1387"/>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1"/>
      <c r="C976" s="862"/>
      <c r="D976" s="1383" t="s">
        <v>1997</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4"/>
      <c r="AF976" s="82"/>
      <c r="AG976" s="1359" t="s">
        <v>482</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9"/>
      <c r="C977" s="863"/>
      <c r="D977" s="1245" t="s">
        <v>1890</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9"/>
      <c r="C978" s="863"/>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9"/>
      <c r="C979" s="863"/>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9"/>
      <c r="C980" s="863"/>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4"/>
      <c r="C981" s="865"/>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1"/>
      <c r="C982" s="555" t="s">
        <v>485</v>
      </c>
      <c r="D982" s="1383" t="s">
        <v>1998</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4"/>
      <c r="AF982" s="84"/>
      <c r="AG982" s="1359" t="s">
        <v>482</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2" t="s">
        <v>1999</v>
      </c>
      <c r="E983" s="1523"/>
      <c r="F983" s="1523"/>
      <c r="G983" s="1523"/>
      <c r="H983" s="1523"/>
      <c r="I983" s="1523"/>
      <c r="J983" s="1523"/>
      <c r="K983" s="1523"/>
      <c r="L983" s="1523"/>
      <c r="M983" s="1523"/>
      <c r="N983" s="1523"/>
      <c r="O983" s="1523"/>
      <c r="P983" s="1523"/>
      <c r="Q983" s="1523"/>
      <c r="R983" s="1523"/>
      <c r="S983" s="1523"/>
      <c r="T983" s="1523"/>
      <c r="U983" s="1523"/>
      <c r="V983" s="1523"/>
      <c r="W983" s="1523"/>
      <c r="X983" s="1523"/>
      <c r="Y983" s="1523"/>
      <c r="Z983" s="1523"/>
      <c r="AA983" s="1523"/>
      <c r="AB983" s="1523"/>
      <c r="AC983" s="1523"/>
      <c r="AD983" s="1523"/>
      <c r="AE983" s="1524"/>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2"/>
      <c r="E984" s="1523"/>
      <c r="F984" s="1523"/>
      <c r="G984" s="1523"/>
      <c r="H984" s="1523"/>
      <c r="I984" s="1523"/>
      <c r="J984" s="1523"/>
      <c r="K984" s="1523"/>
      <c r="L984" s="1523"/>
      <c r="M984" s="1523"/>
      <c r="N984" s="1523"/>
      <c r="O984" s="1523"/>
      <c r="P984" s="1523"/>
      <c r="Q984" s="1523"/>
      <c r="R984" s="1523"/>
      <c r="S984" s="1523"/>
      <c r="T984" s="1523"/>
      <c r="U984" s="1523"/>
      <c r="V984" s="1523"/>
      <c r="W984" s="1523"/>
      <c r="X984" s="1523"/>
      <c r="Y984" s="1523"/>
      <c r="Z984" s="1523"/>
      <c r="AA984" s="1523"/>
      <c r="AB984" s="1523"/>
      <c r="AC984" s="1523"/>
      <c r="AD984" s="1523"/>
      <c r="AE984" s="1524"/>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6"/>
      <c r="C985" s="865"/>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3" t="s">
        <v>1891</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4"/>
      <c r="AF986" s="82"/>
      <c r="AG986" s="1359" t="s">
        <v>482</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0" t="s">
        <v>1892</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3" t="s">
        <v>1893</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4"/>
      <c r="AF988" s="82"/>
      <c r="AG988" s="1359" t="s">
        <v>482</v>
      </c>
      <c r="AH988" s="1360"/>
      <c r="AI988" s="82"/>
      <c r="AJ988" s="1361">
        <f>ROUND(IF(AG988="yes",AJ967*0.02,0),0)</f>
        <v>0</v>
      </c>
      <c r="AK988" s="1362"/>
      <c r="AL988" s="1362"/>
      <c r="AM988" s="1362"/>
      <c r="AN988" s="1362"/>
      <c r="AO988" s="1362"/>
      <c r="AP988" s="1362"/>
      <c r="AQ988" s="1363"/>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2" t="s">
        <v>1894</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4"/>
      <c r="AF989" s="1570" t="str">
        <f>IF(AND(AG988="yes",AF215&lt;&gt;1),"The project may not be eligible for this boost","")</f>
        <v/>
      </c>
      <c r="AG989" s="1571"/>
      <c r="AH989" s="1571"/>
      <c r="AI989" s="1572"/>
      <c r="AJ989" s="1364"/>
      <c r="AK989" s="1365"/>
      <c r="AL989" s="1365"/>
      <c r="AM989" s="1365"/>
      <c r="AN989" s="1365"/>
      <c r="AO989" s="1365"/>
      <c r="AP989" s="1365"/>
      <c r="AQ989" s="1366"/>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4"/>
      <c r="C990" s="865"/>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3"/>
      <c r="AG990" s="1574"/>
      <c r="AH990" s="1574"/>
      <c r="AI990" s="1575"/>
      <c r="AJ990" s="1367"/>
      <c r="AK990" s="1368"/>
      <c r="AL990" s="1368"/>
      <c r="AM990" s="1368"/>
      <c r="AN990" s="1368"/>
      <c r="AO990" s="1368"/>
      <c r="AP990" s="1368"/>
      <c r="AQ990" s="1369"/>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202" t="s">
        <v>1895</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9" t="s">
        <v>482</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2" t="s">
        <v>2000</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4"/>
      <c r="AF992" s="1205" t="str">
        <f>IF(AND(AG991="Yes",BA992=0),BA994,"")</f>
        <v/>
      </c>
      <c r="AG992" s="1206"/>
      <c r="AH992" s="1206"/>
      <c r="AI992" s="1207"/>
      <c r="AJ992" s="1364"/>
      <c r="AK992" s="1365"/>
      <c r="AL992" s="1365"/>
      <c r="AM992" s="1365"/>
      <c r="AN992" s="1365"/>
      <c r="AO992" s="1365"/>
      <c r="AP992" s="1365"/>
      <c r="AQ992" s="1366"/>
      <c r="AR992" s="43"/>
      <c r="AS992" s="43"/>
      <c r="AT992" s="43"/>
      <c r="AU992" s="43"/>
      <c r="AV992" s="43"/>
      <c r="AW992" s="43"/>
      <c r="AX992" s="43"/>
      <c r="AY992" s="43"/>
      <c r="AZ992" s="43"/>
      <c r="BA992" s="960">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2"/>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4"/>
      <c r="AF993" s="1205"/>
      <c r="AG993" s="1206"/>
      <c r="AH993" s="1206"/>
      <c r="AI993" s="1207"/>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7"/>
      <c r="C994" s="863"/>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4"/>
      <c r="AG994" s="1555"/>
      <c r="AH994" s="1555"/>
      <c r="AI994" s="1556"/>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545" t="s">
        <v>1896</v>
      </c>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1547"/>
      <c r="AF995" s="82"/>
      <c r="AG995" s="1359" t="s">
        <v>482</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7"/>
      <c r="C996" s="868"/>
      <c r="D996" s="1548"/>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550"/>
      <c r="AF996" s="1205" t="str">
        <f>IF(AG995="yes","Please Select Type and Enter Amount:","")</f>
        <v/>
      </c>
      <c r="AG996" s="1206"/>
      <c r="AH996" s="1206"/>
      <c r="AI996" s="1207"/>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7"/>
      <c r="C997" s="868"/>
      <c r="D997" s="1522" t="s">
        <v>1897</v>
      </c>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4"/>
      <c r="AF997" s="1205"/>
      <c r="AG997" s="1206"/>
      <c r="AH997" s="1206"/>
      <c r="AI997" s="1207"/>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7"/>
      <c r="C998" s="868"/>
      <c r="D998" s="1522"/>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4"/>
      <c r="AF998" s="1208"/>
      <c r="AG998" s="1208"/>
      <c r="AH998" s="1208"/>
      <c r="AI998" s="1208"/>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7"/>
      <c r="C999" s="868"/>
      <c r="D999" s="869" t="s">
        <v>883</v>
      </c>
      <c r="E999" s="88"/>
      <c r="F999" s="88"/>
      <c r="G999" s="410"/>
      <c r="H999" s="410"/>
      <c r="I999" s="55"/>
      <c r="J999" s="1551" t="s">
        <v>124</v>
      </c>
      <c r="K999" s="1552"/>
      <c r="L999" s="1552"/>
      <c r="M999" s="1552"/>
      <c r="N999" s="1552"/>
      <c r="O999" s="1552"/>
      <c r="P999" s="1552"/>
      <c r="Q999" s="1552"/>
      <c r="R999" s="1552"/>
      <c r="S999" s="1552"/>
      <c r="T999" s="1552"/>
      <c r="U999" s="1552"/>
      <c r="V999" s="1552"/>
      <c r="W999" s="1552"/>
      <c r="X999" s="1552"/>
      <c r="Y999" s="1552"/>
      <c r="Z999" s="1552"/>
      <c r="AA999" s="1552"/>
      <c r="AB999" s="1552"/>
      <c r="AC999" s="1552"/>
      <c r="AD999" s="1552"/>
      <c r="AE999" s="1553"/>
      <c r="AF999" s="1208"/>
      <c r="AG999" s="1208"/>
      <c r="AH999" s="1208"/>
      <c r="AI999" s="1208"/>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383" t="s">
        <v>1898</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4"/>
      <c r="AF1000" s="82"/>
      <c r="AG1000" s="1359" t="s">
        <v>108</v>
      </c>
      <c r="AH1000" s="1360"/>
      <c r="AI1000" s="85"/>
      <c r="AJ1000" s="1361">
        <f>ROUND(IF(AG1000="Yes",AF1002,0),0)</f>
        <v>567004</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2" t="s">
        <v>2001</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4"/>
      <c r="AF1001" s="1209" t="str">
        <f>IF(AG1000="yes","Please Enter Amount:","")</f>
        <v>Please Enter Amount:</v>
      </c>
      <c r="AG1001" s="1210"/>
      <c r="AH1001" s="1210"/>
      <c r="AI1001" s="1211"/>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2"/>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4"/>
      <c r="AF1002" s="1208">
        <v>567004</v>
      </c>
      <c r="AG1002" s="1208"/>
      <c r="AH1002" s="1208"/>
      <c r="AI1002" s="1208"/>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6"/>
      <c r="C1003" s="868"/>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08"/>
      <c r="AG1003" s="1208"/>
      <c r="AH1003" s="1208"/>
      <c r="AI1003" s="1208"/>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2.9" customHeight="1">
      <c r="A1004" s="21"/>
      <c r="B1004" s="82"/>
      <c r="C1004" s="555" t="s">
        <v>578</v>
      </c>
      <c r="D1004" s="1202" t="s">
        <v>1899</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9" t="s">
        <v>482</v>
      </c>
      <c r="AH1004" s="1360"/>
      <c r="AI1004" s="85"/>
      <c r="AJ1004" s="1361">
        <f>ROUND(IF(AG1004="yes",(AJ967*0.1),0),0)</f>
        <v>0</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2.9" customHeight="1">
      <c r="A1005" s="21"/>
      <c r="B1005" s="79"/>
      <c r="C1005" s="556"/>
      <c r="D1005" s="1522" t="s">
        <v>1900</v>
      </c>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4"/>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2.9"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2.9" customHeight="1">
      <c r="A1007" s="554"/>
      <c r="B1007" s="79"/>
      <c r="C1007" s="555" t="s">
        <v>581</v>
      </c>
      <c r="D1007" s="1383" t="s">
        <v>2002</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4"/>
      <c r="AF1007" s="82"/>
      <c r="AG1007" s="1359" t="s">
        <v>482</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2.9" customHeight="1">
      <c r="A1008" s="554"/>
      <c r="B1008" s="79"/>
      <c r="C1008" s="556"/>
      <c r="D1008" s="1530" t="s">
        <v>2003</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1"/>
      <c r="AF1008" s="870"/>
      <c r="AG1008" s="871"/>
      <c r="AH1008" s="871"/>
      <c r="AI1008" s="872"/>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0"/>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1"/>
      <c r="AF1009" s="870"/>
      <c r="AG1009" s="871"/>
      <c r="AH1009" s="871"/>
      <c r="AI1009" s="872"/>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2"/>
      <c r="E1010" s="1533"/>
      <c r="F1010" s="1533"/>
      <c r="G1010" s="1533"/>
      <c r="H1010" s="1533"/>
      <c r="I1010" s="1533"/>
      <c r="J1010" s="1533"/>
      <c r="K1010" s="1533"/>
      <c r="L1010" s="1533"/>
      <c r="M1010" s="1533"/>
      <c r="N1010" s="1533"/>
      <c r="O1010" s="1533"/>
      <c r="P1010" s="1533"/>
      <c r="Q1010" s="1533"/>
      <c r="R1010" s="1533"/>
      <c r="S1010" s="1533"/>
      <c r="T1010" s="1533"/>
      <c r="U1010" s="1533"/>
      <c r="V1010" s="1533"/>
      <c r="W1010" s="1533"/>
      <c r="X1010" s="1533"/>
      <c r="Y1010" s="1533"/>
      <c r="Z1010" s="1533"/>
      <c r="AA1010" s="1533"/>
      <c r="AB1010" s="1533"/>
      <c r="AC1010" s="1533"/>
      <c r="AD1010" s="1533"/>
      <c r="AE1010" s="1534"/>
      <c r="AF1010" s="873"/>
      <c r="AG1010" s="874"/>
      <c r="AH1010" s="874"/>
      <c r="AI1010" s="875"/>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202" t="s">
        <v>2004</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2" t="s">
        <v>482</v>
      </c>
      <c r="AH1011" s="1543"/>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0" t="s">
        <v>2005</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1"/>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0"/>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1"/>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0"/>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1"/>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2"/>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6" t="s">
        <v>2006</v>
      </c>
      <c r="D1016" s="1383" t="s">
        <v>1901</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4"/>
      <c r="AF1016" s="82"/>
      <c r="AG1016" s="1359" t="s">
        <v>108</v>
      </c>
      <c r="AH1016" s="1360"/>
      <c r="AI1016" s="85"/>
      <c r="AJ1016" s="1361">
        <f>ROUND(IF(AG1016="yes",(AJ967*0.1),0),0)</f>
        <v>3238358</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2" t="s">
        <v>2214</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7"/>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42665663</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38228848.879999995</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0.89600972285371483</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4" t="s">
        <v>989</v>
      </c>
      <c r="B1032" s="1544"/>
      <c r="C1032" s="1544"/>
      <c r="D1032" s="1544"/>
      <c r="E1032" s="1544"/>
      <c r="F1032" s="1544"/>
      <c r="G1032" s="1544"/>
      <c r="H1032" s="1544"/>
      <c r="I1032" s="1544"/>
      <c r="J1032" s="1544"/>
      <c r="K1032" s="1544"/>
      <c r="L1032" s="1544"/>
      <c r="M1032" s="1544"/>
      <c r="N1032" s="1544"/>
      <c r="O1032" s="1544"/>
      <c r="P1032" s="1544"/>
      <c r="Q1032" s="1544"/>
      <c r="R1032" s="1544"/>
      <c r="S1032" s="1544"/>
      <c r="T1032" s="1544"/>
      <c r="U1032" s="1544"/>
      <c r="V1032" s="1544"/>
      <c r="W1032" s="1544"/>
      <c r="X1032" s="1544"/>
      <c r="Y1032" s="1544"/>
      <c r="Z1032" s="1544"/>
      <c r="AA1032" s="1544"/>
      <c r="AB1032" s="1544"/>
      <c r="AC1032" s="1544"/>
      <c r="AD1032" s="1544"/>
      <c r="AE1032" s="1544"/>
      <c r="AF1032" s="1544"/>
      <c r="AG1032" s="1544"/>
      <c r="AH1032" s="1544"/>
      <c r="AI1032" s="1544"/>
      <c r="AJ1032" s="1544"/>
      <c r="AK1032" s="1544"/>
      <c r="AL1032" s="1544"/>
      <c r="AM1032" s="1544"/>
      <c r="AN1032" s="1544"/>
      <c r="AO1032" s="1544"/>
      <c r="AP1032" s="1544"/>
      <c r="AQ1032" s="1544"/>
      <c r="AR1032" s="1544"/>
      <c r="AS1032" s="1544"/>
      <c r="AT1032" s="154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5" t="s">
        <v>124</v>
      </c>
      <c r="B1036" s="1115"/>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5" t="s">
        <v>124</v>
      </c>
      <c r="B1042" s="1115"/>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5" t="s">
        <v>124</v>
      </c>
      <c r="B1048" s="1115"/>
      <c r="C1048" s="12">
        <v>3</v>
      </c>
      <c r="D1048" s="972" t="s">
        <v>2213</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5" t="s">
        <v>124</v>
      </c>
      <c r="B1055" s="1115"/>
      <c r="C1055" s="12">
        <v>4</v>
      </c>
      <c r="D1055" s="972" t="s">
        <v>2045</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5" t="s">
        <v>124</v>
      </c>
      <c r="B1059" s="1115"/>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5" t="s">
        <v>124</v>
      </c>
      <c r="B1063" s="1115"/>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5" t="s">
        <v>124</v>
      </c>
      <c r="B1066" s="1115"/>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5" t="s">
        <v>124</v>
      </c>
      <c r="B1071" s="1115"/>
      <c r="C1071" s="350">
        <v>8</v>
      </c>
      <c r="D1071" s="972" t="s">
        <v>2017</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6" t="s">
        <v>124</v>
      </c>
      <c r="B1075" s="1236"/>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3" workbookViewId="0">
      <selection activeCell="O92" sqref="O92"/>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79" t="s">
        <v>184</v>
      </c>
      <c r="G1" s="1580"/>
      <c r="H1" s="1580"/>
      <c r="I1" s="1580"/>
      <c r="J1" s="1580"/>
      <c r="K1" s="1580"/>
      <c r="L1" s="1580"/>
      <c r="M1" s="1580"/>
      <c r="N1" s="1580"/>
      <c r="O1" s="1580"/>
      <c r="P1" s="1580"/>
      <c r="Q1" s="1580"/>
      <c r="R1" s="1581"/>
      <c r="S1" s="202"/>
      <c r="T1" s="201"/>
      <c r="U1" s="203"/>
    </row>
    <row r="2" spans="1:21" s="232" customFormat="1" ht="60" customHeight="1">
      <c r="A2" s="231"/>
      <c r="B2" s="232" t="s">
        <v>797</v>
      </c>
      <c r="C2" s="232" t="s">
        <v>507</v>
      </c>
      <c r="D2" s="232" t="s">
        <v>506</v>
      </c>
      <c r="E2" s="232" t="s">
        <v>798</v>
      </c>
      <c r="F2" s="233" t="str">
        <f>Application!B621&amp;Application!C621</f>
        <v>1)Perm Loan- Citi Bank</v>
      </c>
      <c r="G2" s="233" t="str">
        <f>Application!B622&amp;Application!C622</f>
        <v>2)CDBG-DRMHP</v>
      </c>
      <c r="H2" s="233" t="str">
        <f>Application!B623&amp;Application!C623</f>
        <v>3)Deferred Developer fee</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2700000</v>
      </c>
      <c r="C4" s="241">
        <v>2700000</v>
      </c>
      <c r="D4" s="241"/>
      <c r="E4" s="241">
        <f>C4-SUM(F4:Q4)</f>
        <v>2700000</v>
      </c>
      <c r="F4" s="241"/>
      <c r="G4" s="241"/>
      <c r="H4" s="241"/>
      <c r="I4" s="241"/>
      <c r="J4" s="241"/>
      <c r="K4" s="241"/>
      <c r="L4" s="241"/>
      <c r="M4" s="241"/>
      <c r="N4" s="241"/>
      <c r="O4" s="241"/>
      <c r="P4" s="241"/>
      <c r="Q4" s="241"/>
      <c r="R4" s="241">
        <f>C4</f>
        <v>2700000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2700000</v>
      </c>
      <c r="C8" s="240">
        <f t="shared" ref="C8:R8" si="0">SUM(C4:C7)</f>
        <v>2700000</v>
      </c>
      <c r="D8" s="240">
        <f t="shared" si="0"/>
        <v>0</v>
      </c>
      <c r="E8" s="240">
        <f t="shared" si="0"/>
        <v>2700000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2700000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2700000</v>
      </c>
      <c r="C12" s="240">
        <f t="shared" si="2"/>
        <v>2700000</v>
      </c>
      <c r="D12" s="240">
        <f t="shared" si="2"/>
        <v>0</v>
      </c>
      <c r="E12" s="240">
        <f t="shared" si="2"/>
        <v>2700000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2700000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4989702</v>
      </c>
      <c r="C29" s="241">
        <v>4989702</v>
      </c>
      <c r="D29" s="241"/>
      <c r="E29" s="241">
        <f>C29-SUM(F29:Q29)</f>
        <v>4989702</v>
      </c>
      <c r="F29" s="241"/>
      <c r="G29" s="241"/>
      <c r="H29" s="241"/>
      <c r="I29" s="241"/>
      <c r="J29" s="241"/>
      <c r="K29" s="241"/>
      <c r="L29" s="241"/>
      <c r="M29" s="241"/>
      <c r="N29" s="241"/>
      <c r="O29" s="241"/>
      <c r="P29" s="241"/>
      <c r="Q29" s="241"/>
      <c r="R29" s="241">
        <f t="shared" ref="R29:R37" si="7">SUM(E29:Q29)</f>
        <v>4989702</v>
      </c>
      <c r="S29" s="241">
        <f>R29</f>
        <v>4989702</v>
      </c>
      <c r="T29" s="241"/>
      <c r="U29" s="237"/>
    </row>
    <row r="30" spans="1:21" s="238" customFormat="1" ht="11.4">
      <c r="A30" s="239" t="s">
        <v>911</v>
      </c>
      <c r="B30" s="240">
        <f t="shared" si="6"/>
        <v>18000000</v>
      </c>
      <c r="C30" s="241">
        <v>18000000</v>
      </c>
      <c r="D30" s="241"/>
      <c r="E30" s="241">
        <f>C30-SUM(F30:Q30)</f>
        <v>1426508.6400000006</v>
      </c>
      <c r="F30" s="241">
        <f>F107</f>
        <v>3075841.36</v>
      </c>
      <c r="G30" s="241">
        <f>G107</f>
        <v>13497650</v>
      </c>
      <c r="H30" s="241"/>
      <c r="I30" s="241"/>
      <c r="J30" s="241"/>
      <c r="K30" s="241"/>
      <c r="L30" s="241"/>
      <c r="M30" s="241"/>
      <c r="N30" s="241"/>
      <c r="O30" s="241"/>
      <c r="P30" s="241"/>
      <c r="Q30" s="241"/>
      <c r="R30" s="241">
        <f t="shared" si="7"/>
        <v>18000000</v>
      </c>
      <c r="S30" s="241">
        <f>R30</f>
        <v>18000000</v>
      </c>
      <c r="T30" s="241"/>
      <c r="U30" s="237"/>
    </row>
    <row r="31" spans="1:21" s="238" customFormat="1" ht="11.4">
      <c r="A31" s="239" t="s">
        <v>912</v>
      </c>
      <c r="B31" s="240">
        <f t="shared" si="6"/>
        <v>1509925.58</v>
      </c>
      <c r="C31" s="241">
        <v>1509925.58</v>
      </c>
      <c r="D31" s="241"/>
      <c r="E31" s="241">
        <f t="shared" ref="E31:E36" si="8">C31-SUM(F31:Q31)</f>
        <v>1509925.58</v>
      </c>
      <c r="F31" s="241"/>
      <c r="G31" s="241"/>
      <c r="H31" s="241"/>
      <c r="I31" s="241"/>
      <c r="J31" s="241"/>
      <c r="K31" s="241"/>
      <c r="L31" s="241"/>
      <c r="M31" s="241"/>
      <c r="N31" s="241"/>
      <c r="O31" s="241"/>
      <c r="P31" s="241"/>
      <c r="Q31" s="241"/>
      <c r="R31" s="241">
        <f t="shared" si="7"/>
        <v>1509925.58</v>
      </c>
      <c r="S31" s="241">
        <f>R31</f>
        <v>1509925.58</v>
      </c>
      <c r="T31" s="241"/>
      <c r="U31" s="237"/>
    </row>
    <row r="32" spans="1:21" s="238" customFormat="1" ht="11.4">
      <c r="A32" s="239" t="s">
        <v>913</v>
      </c>
      <c r="B32" s="240">
        <f t="shared" si="6"/>
        <v>1183583.6160000002</v>
      </c>
      <c r="C32" s="241">
        <f>1479479.52*0.8</f>
        <v>1183583.6160000002</v>
      </c>
      <c r="D32" s="241"/>
      <c r="E32" s="241">
        <f t="shared" si="8"/>
        <v>1183583.6160000002</v>
      </c>
      <c r="F32" s="241"/>
      <c r="G32" s="241"/>
      <c r="H32" s="241"/>
      <c r="I32" s="241"/>
      <c r="J32" s="241"/>
      <c r="K32" s="241"/>
      <c r="L32" s="241"/>
      <c r="M32" s="241"/>
      <c r="N32" s="241"/>
      <c r="O32" s="241"/>
      <c r="P32" s="241"/>
      <c r="Q32" s="241"/>
      <c r="R32" s="241">
        <f t="shared" si="7"/>
        <v>1183583.6160000002</v>
      </c>
      <c r="S32" s="241">
        <f>R32</f>
        <v>1183583.6160000002</v>
      </c>
      <c r="T32" s="241"/>
      <c r="U32" s="237"/>
    </row>
    <row r="33" spans="1:21" s="238" customFormat="1" ht="11.4">
      <c r="A33" s="239" t="s">
        <v>914</v>
      </c>
      <c r="B33" s="240">
        <f t="shared" si="6"/>
        <v>295895.90400000004</v>
      </c>
      <c r="C33" s="241">
        <f>1479479.52*0.2</f>
        <v>295895.90400000004</v>
      </c>
      <c r="D33" s="241"/>
      <c r="E33" s="241">
        <f t="shared" si="8"/>
        <v>295895.90400000004</v>
      </c>
      <c r="F33" s="241"/>
      <c r="G33" s="241"/>
      <c r="H33" s="241"/>
      <c r="I33" s="241"/>
      <c r="J33" s="241"/>
      <c r="K33" s="241"/>
      <c r="L33" s="241"/>
      <c r="M33" s="241"/>
      <c r="N33" s="241"/>
      <c r="O33" s="241"/>
      <c r="P33" s="241"/>
      <c r="Q33" s="241"/>
      <c r="R33" s="241">
        <f t="shared" si="7"/>
        <v>295895.90400000004</v>
      </c>
      <c r="S33" s="241">
        <f>R33</f>
        <v>295895.90400000004</v>
      </c>
      <c r="T33" s="241"/>
      <c r="U33" s="237"/>
    </row>
    <row r="34" spans="1:21" s="238" customFormat="1" ht="11.4">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916</v>
      </c>
      <c r="B35" s="240">
        <f t="shared" si="6"/>
        <v>567582.14</v>
      </c>
      <c r="C35" s="241">
        <v>567582.14</v>
      </c>
      <c r="D35" s="241"/>
      <c r="E35" s="241">
        <f t="shared" si="8"/>
        <v>567582.14</v>
      </c>
      <c r="F35" s="241"/>
      <c r="G35" s="241"/>
      <c r="H35" s="241"/>
      <c r="I35" s="241"/>
      <c r="J35" s="241"/>
      <c r="K35" s="241"/>
      <c r="L35" s="241"/>
      <c r="M35" s="241"/>
      <c r="N35" s="241"/>
      <c r="O35" s="241"/>
      <c r="P35" s="241"/>
      <c r="Q35" s="241"/>
      <c r="R35" s="241">
        <f t="shared" si="7"/>
        <v>567582.14</v>
      </c>
      <c r="S35" s="241">
        <f>R35</f>
        <v>567582.14</v>
      </c>
      <c r="T35" s="241"/>
      <c r="U35" s="237"/>
    </row>
    <row r="36" spans="1:21" s="238" customFormat="1" ht="11.4">
      <c r="A36" s="250" t="s">
        <v>1952</v>
      </c>
      <c r="B36" s="240">
        <f t="shared" si="6"/>
        <v>250000</v>
      </c>
      <c r="C36" s="241">
        <v>250000</v>
      </c>
      <c r="D36" s="241"/>
      <c r="E36" s="241">
        <f t="shared" si="8"/>
        <v>250000</v>
      </c>
      <c r="F36" s="241"/>
      <c r="G36" s="241"/>
      <c r="H36" s="241"/>
      <c r="I36" s="241"/>
      <c r="J36" s="241"/>
      <c r="K36" s="241"/>
      <c r="L36" s="241"/>
      <c r="M36" s="241"/>
      <c r="N36" s="241"/>
      <c r="O36" s="241"/>
      <c r="P36" s="241"/>
      <c r="Q36" s="241"/>
      <c r="R36" s="241">
        <f t="shared" si="7"/>
        <v>250000</v>
      </c>
      <c r="S36" s="241">
        <f>R36</f>
        <v>250000</v>
      </c>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26796689.239999998</v>
      </c>
      <c r="C38" s="240">
        <f>SUM(C29:C37)</f>
        <v>26796689.239999998</v>
      </c>
      <c r="D38" s="240">
        <f>SUM(D29:D37)</f>
        <v>0</v>
      </c>
      <c r="E38" s="240">
        <f>SUM(E29:E37)</f>
        <v>10223197.880000001</v>
      </c>
      <c r="F38" s="240">
        <f t="shared" ref="F38:T38" si="9">SUM(F29:F37)</f>
        <v>3075841.36</v>
      </c>
      <c r="G38" s="240">
        <f t="shared" si="9"/>
        <v>13497650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26796689.239999998</v>
      </c>
      <c r="S38" s="244">
        <f t="shared" si="9"/>
        <v>26796689.239999998</v>
      </c>
      <c r="T38" s="244">
        <f t="shared" si="9"/>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651345</v>
      </c>
      <c r="C40" s="241">
        <f>1302690/2</f>
        <v>651345</v>
      </c>
      <c r="D40" s="241"/>
      <c r="E40" s="241">
        <f t="shared" ref="E40:E41" si="10">C40-SUM(F40:Q40)</f>
        <v>651345</v>
      </c>
      <c r="F40" s="241"/>
      <c r="G40" s="241"/>
      <c r="H40" s="241"/>
      <c r="I40" s="241"/>
      <c r="J40" s="241"/>
      <c r="K40" s="241"/>
      <c r="L40" s="241"/>
      <c r="M40" s="241"/>
      <c r="N40" s="241"/>
      <c r="O40" s="241"/>
      <c r="P40" s="241"/>
      <c r="Q40" s="241"/>
      <c r="R40" s="241">
        <f>SUM(E40:Q40)</f>
        <v>651345</v>
      </c>
      <c r="S40" s="241">
        <f>R40</f>
        <v>651345</v>
      </c>
      <c r="T40" s="241"/>
      <c r="U40" s="237"/>
    </row>
    <row r="41" spans="1:21" s="238" customFormat="1" ht="11.4">
      <c r="A41" s="239" t="s">
        <v>922</v>
      </c>
      <c r="B41" s="240">
        <f>SUM(C41+D41)</f>
        <v>651345</v>
      </c>
      <c r="C41" s="241">
        <f>C40</f>
        <v>651345</v>
      </c>
      <c r="D41" s="241"/>
      <c r="E41" s="241">
        <f t="shared" si="10"/>
        <v>651345</v>
      </c>
      <c r="F41" s="241"/>
      <c r="G41" s="241"/>
      <c r="H41" s="241"/>
      <c r="I41" s="241"/>
      <c r="J41" s="241"/>
      <c r="K41" s="241"/>
      <c r="L41" s="241"/>
      <c r="M41" s="241"/>
      <c r="N41" s="241"/>
      <c r="O41" s="241"/>
      <c r="P41" s="241"/>
      <c r="Q41" s="241"/>
      <c r="R41" s="241">
        <f>SUM(E41:Q41)</f>
        <v>651345</v>
      </c>
      <c r="S41" s="241">
        <f>R41</f>
        <v>651345</v>
      </c>
      <c r="T41" s="241"/>
      <c r="U41" s="237"/>
    </row>
    <row r="42" spans="1:21" s="238" customFormat="1">
      <c r="A42" s="243" t="s">
        <v>923</v>
      </c>
      <c r="B42" s="240">
        <f>SUM(C42:D42)</f>
        <v>1302690</v>
      </c>
      <c r="C42" s="240">
        <f>SUM(C39:C41)</f>
        <v>1302690</v>
      </c>
      <c r="D42" s="240">
        <f>SUM(D39:D41)</f>
        <v>0</v>
      </c>
      <c r="E42" s="240">
        <f t="shared" ref="E42:T42" si="11">SUM(E40:E41)</f>
        <v>1302690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1302690</v>
      </c>
      <c r="S42" s="244">
        <f t="shared" si="11"/>
        <v>1302690</v>
      </c>
      <c r="T42" s="244">
        <f t="shared" si="11"/>
        <v>0</v>
      </c>
      <c r="U42" s="237"/>
    </row>
    <row r="43" spans="1:21" s="238" customFormat="1">
      <c r="A43" s="243" t="s">
        <v>924</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2">SUM(C45+D45)</f>
        <v>3887398.11</v>
      </c>
      <c r="C45" s="241">
        <v>3887398.11</v>
      </c>
      <c r="D45" s="241"/>
      <c r="E45" s="241">
        <f t="shared" ref="E45:E52" si="13">C45-SUM(F45:Q45)</f>
        <v>3887398.11</v>
      </c>
      <c r="F45" s="241"/>
      <c r="G45" s="241"/>
      <c r="H45" s="241"/>
      <c r="I45" s="241"/>
      <c r="J45" s="241"/>
      <c r="K45" s="241"/>
      <c r="L45" s="241"/>
      <c r="M45" s="241"/>
      <c r="N45" s="241"/>
      <c r="O45" s="241"/>
      <c r="P45" s="241"/>
      <c r="Q45" s="241"/>
      <c r="R45" s="241">
        <f t="shared" ref="R45:R52" si="14">SUM(E45:Q45)</f>
        <v>3887398.11</v>
      </c>
      <c r="S45" s="241">
        <v>2803148</v>
      </c>
      <c r="T45" s="241"/>
      <c r="U45" s="237"/>
    </row>
    <row r="46" spans="1:21" s="238" customFormat="1" ht="11.4">
      <c r="A46" s="239" t="s">
        <v>927</v>
      </c>
      <c r="B46" s="240">
        <f t="shared" si="12"/>
        <v>421540.16</v>
      </c>
      <c r="C46" s="241">
        <v>421540.16</v>
      </c>
      <c r="D46" s="241"/>
      <c r="E46" s="241">
        <f t="shared" si="13"/>
        <v>421540.16</v>
      </c>
      <c r="F46" s="241"/>
      <c r="G46" s="241"/>
      <c r="H46" s="241"/>
      <c r="I46" s="241"/>
      <c r="J46" s="241"/>
      <c r="K46" s="241"/>
      <c r="L46" s="241"/>
      <c r="M46" s="241"/>
      <c r="N46" s="241"/>
      <c r="O46" s="241"/>
      <c r="P46" s="241"/>
      <c r="Q46" s="241"/>
      <c r="R46" s="241">
        <f t="shared" si="14"/>
        <v>421540.16</v>
      </c>
      <c r="S46" s="241">
        <v>303967</v>
      </c>
      <c r="T46" s="241"/>
      <c r="U46" s="237"/>
    </row>
    <row r="47" spans="1:21" s="238" customFormat="1" ht="12" customHeight="1">
      <c r="A47" s="239" t="s">
        <v>928</v>
      </c>
      <c r="B47" s="240">
        <f t="shared" si="12"/>
        <v>0</v>
      </c>
      <c r="C47" s="241"/>
      <c r="D47" s="241"/>
      <c r="E47" s="241"/>
      <c r="F47" s="241"/>
      <c r="G47" s="241"/>
      <c r="H47" s="241"/>
      <c r="I47" s="241"/>
      <c r="J47" s="241"/>
      <c r="K47" s="241"/>
      <c r="L47" s="241"/>
      <c r="M47" s="241"/>
      <c r="N47" s="241"/>
      <c r="O47" s="241"/>
      <c r="P47" s="241"/>
      <c r="Q47" s="241"/>
      <c r="R47" s="241">
        <f t="shared" si="14"/>
        <v>0</v>
      </c>
      <c r="S47" s="241"/>
      <c r="T47" s="241"/>
      <c r="U47" s="237"/>
    </row>
    <row r="48" spans="1:21" s="238" customFormat="1" ht="11.4">
      <c r="A48" s="239" t="s">
        <v>929</v>
      </c>
      <c r="B48" s="240">
        <f t="shared" si="12"/>
        <v>283791.07</v>
      </c>
      <c r="C48" s="241">
        <v>283791.07</v>
      </c>
      <c r="D48" s="241"/>
      <c r="E48" s="241">
        <f t="shared" si="13"/>
        <v>283791.07</v>
      </c>
      <c r="F48" s="241"/>
      <c r="G48" s="241"/>
      <c r="H48" s="241"/>
      <c r="I48" s="241"/>
      <c r="J48" s="241"/>
      <c r="K48" s="241"/>
      <c r="L48" s="241"/>
      <c r="M48" s="241"/>
      <c r="N48" s="241"/>
      <c r="O48" s="241"/>
      <c r="P48" s="241"/>
      <c r="Q48" s="241"/>
      <c r="R48" s="241">
        <f t="shared" si="14"/>
        <v>283791.07</v>
      </c>
      <c r="S48" s="241">
        <v>283791</v>
      </c>
      <c r="T48" s="241"/>
      <c r="U48" s="237"/>
    </row>
    <row r="49" spans="1:21" s="238" customFormat="1" ht="11.4">
      <c r="A49" s="239" t="s">
        <v>932</v>
      </c>
      <c r="B49" s="240">
        <f t="shared" si="12"/>
        <v>60000</v>
      </c>
      <c r="C49" s="241">
        <v>60000</v>
      </c>
      <c r="D49" s="241"/>
      <c r="E49" s="241">
        <f t="shared" si="13"/>
        <v>60000</v>
      </c>
      <c r="F49" s="241"/>
      <c r="G49" s="241"/>
      <c r="H49" s="241"/>
      <c r="I49" s="241"/>
      <c r="J49" s="241"/>
      <c r="K49" s="241"/>
      <c r="L49" s="241"/>
      <c r="M49" s="241"/>
      <c r="N49" s="241"/>
      <c r="O49" s="241"/>
      <c r="P49" s="241"/>
      <c r="Q49" s="241"/>
      <c r="R49" s="241">
        <f t="shared" si="14"/>
        <v>60000</v>
      </c>
      <c r="S49" s="241">
        <v>25000</v>
      </c>
      <c r="T49" s="241"/>
      <c r="U49" s="237"/>
    </row>
    <row r="50" spans="1:21" s="238" customFormat="1" ht="11.4">
      <c r="A50" s="239" t="s">
        <v>930</v>
      </c>
      <c r="B50" s="240">
        <f t="shared" si="12"/>
        <v>0</v>
      </c>
      <c r="C50" s="241"/>
      <c r="D50" s="241"/>
      <c r="E50" s="241"/>
      <c r="F50" s="241"/>
      <c r="G50" s="241"/>
      <c r="H50" s="241"/>
      <c r="I50" s="241"/>
      <c r="J50" s="241"/>
      <c r="K50" s="241"/>
      <c r="L50" s="241"/>
      <c r="M50" s="241"/>
      <c r="N50" s="241"/>
      <c r="O50" s="241"/>
      <c r="P50" s="241"/>
      <c r="Q50" s="241"/>
      <c r="R50" s="241">
        <f t="shared" si="14"/>
        <v>0</v>
      </c>
      <c r="S50" s="241"/>
      <c r="T50" s="241"/>
      <c r="U50" s="237"/>
    </row>
    <row r="51" spans="1:21" s="238" customFormat="1" ht="11.4">
      <c r="A51" s="239" t="s">
        <v>931</v>
      </c>
      <c r="B51" s="240">
        <f t="shared" si="12"/>
        <v>0</v>
      </c>
      <c r="C51" s="241"/>
      <c r="D51" s="241"/>
      <c r="E51" s="241"/>
      <c r="F51" s="241"/>
      <c r="G51" s="241"/>
      <c r="H51" s="241"/>
      <c r="I51" s="241"/>
      <c r="J51" s="241"/>
      <c r="K51" s="241"/>
      <c r="L51" s="241"/>
      <c r="M51" s="241"/>
      <c r="N51" s="241"/>
      <c r="O51" s="241"/>
      <c r="P51" s="241"/>
      <c r="Q51" s="241"/>
      <c r="R51" s="241">
        <f t="shared" si="14"/>
        <v>0</v>
      </c>
      <c r="S51" s="241"/>
      <c r="T51" s="241"/>
      <c r="U51" s="237"/>
    </row>
    <row r="52" spans="1:21" s="238" customFormat="1" ht="11.4">
      <c r="A52" s="246" t="s">
        <v>2433</v>
      </c>
      <c r="B52" s="240">
        <f t="shared" si="12"/>
        <v>50000</v>
      </c>
      <c r="C52" s="241">
        <v>50000</v>
      </c>
      <c r="D52" s="241"/>
      <c r="E52" s="241">
        <f t="shared" si="13"/>
        <v>50000</v>
      </c>
      <c r="F52" s="241"/>
      <c r="G52" s="241"/>
      <c r="H52" s="241"/>
      <c r="I52" s="241"/>
      <c r="J52" s="241"/>
      <c r="K52" s="241"/>
      <c r="L52" s="241"/>
      <c r="M52" s="241"/>
      <c r="N52" s="241"/>
      <c r="O52" s="241"/>
      <c r="P52" s="241"/>
      <c r="Q52" s="241"/>
      <c r="R52" s="241">
        <f t="shared" si="14"/>
        <v>50000</v>
      </c>
      <c r="S52" s="241">
        <v>50000</v>
      </c>
      <c r="T52" s="241"/>
      <c r="U52" s="237"/>
    </row>
    <row r="53" spans="1:21" s="248" customFormat="1">
      <c r="A53" s="243" t="s">
        <v>933</v>
      </c>
      <c r="B53" s="244">
        <f>SUM(C53:D53)</f>
        <v>4702729.34</v>
      </c>
      <c r="C53" s="244">
        <f t="shared" ref="C53:T53" si="15">SUM(C45:C52)</f>
        <v>4702729.34</v>
      </c>
      <c r="D53" s="244">
        <f t="shared" si="15"/>
        <v>0</v>
      </c>
      <c r="E53" s="244">
        <f t="shared" si="15"/>
        <v>4702729.34</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4702729.34</v>
      </c>
      <c r="S53" s="244">
        <f t="shared" si="15"/>
        <v>3465906</v>
      </c>
      <c r="T53" s="244">
        <f t="shared" si="15"/>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6">SUM(C55+D55)</f>
        <v>46758.41</v>
      </c>
      <c r="C55" s="241">
        <f>16000+30758.41</f>
        <v>46758.41</v>
      </c>
      <c r="D55" s="241"/>
      <c r="E55" s="241">
        <f t="shared" ref="E55:E60" si="17">C55-SUM(F55:Q55)</f>
        <v>46758.41</v>
      </c>
      <c r="F55" s="241"/>
      <c r="G55" s="241"/>
      <c r="H55" s="241"/>
      <c r="I55" s="241"/>
      <c r="J55" s="241"/>
      <c r="K55" s="241"/>
      <c r="L55" s="241"/>
      <c r="M55" s="241"/>
      <c r="N55" s="241"/>
      <c r="O55" s="241"/>
      <c r="P55" s="241"/>
      <c r="Q55" s="241"/>
      <c r="R55" s="241">
        <f t="shared" ref="R55:R60" si="18">SUM(E55:Q55)</f>
        <v>46758.41</v>
      </c>
      <c r="S55" s="242"/>
      <c r="T55" s="242"/>
      <c r="U55" s="237"/>
    </row>
    <row r="56" spans="1:21" s="238" customFormat="1" ht="12" customHeight="1">
      <c r="A56" s="239" t="s">
        <v>928</v>
      </c>
      <c r="B56" s="240">
        <f t="shared" si="16"/>
        <v>500</v>
      </c>
      <c r="C56" s="241">
        <v>500</v>
      </c>
      <c r="D56" s="241"/>
      <c r="E56" s="241">
        <f t="shared" si="17"/>
        <v>500</v>
      </c>
      <c r="F56" s="241"/>
      <c r="G56" s="241"/>
      <c r="H56" s="241"/>
      <c r="I56" s="241"/>
      <c r="J56" s="241"/>
      <c r="K56" s="241"/>
      <c r="L56" s="241"/>
      <c r="M56" s="241"/>
      <c r="N56" s="241"/>
      <c r="O56" s="241"/>
      <c r="P56" s="241"/>
      <c r="Q56" s="241"/>
      <c r="R56" s="241">
        <f t="shared" si="18"/>
        <v>500</v>
      </c>
      <c r="S56" s="242"/>
      <c r="T56" s="242"/>
      <c r="U56" s="237"/>
    </row>
    <row r="57" spans="1:21" s="238" customFormat="1" ht="11.4">
      <c r="A57" s="239" t="s">
        <v>932</v>
      </c>
      <c r="B57" s="240">
        <f t="shared" si="16"/>
        <v>0</v>
      </c>
      <c r="C57" s="241"/>
      <c r="D57" s="241"/>
      <c r="E57" s="241"/>
      <c r="F57" s="241"/>
      <c r="G57" s="241"/>
      <c r="H57" s="241"/>
      <c r="I57" s="241"/>
      <c r="J57" s="241"/>
      <c r="K57" s="241"/>
      <c r="L57" s="241"/>
      <c r="M57" s="241"/>
      <c r="N57" s="241"/>
      <c r="O57" s="241"/>
      <c r="P57" s="241"/>
      <c r="Q57" s="241"/>
      <c r="R57" s="241">
        <f t="shared" si="18"/>
        <v>0</v>
      </c>
      <c r="S57" s="242"/>
      <c r="T57" s="242"/>
      <c r="U57" s="237"/>
    </row>
    <row r="58" spans="1:21" s="238" customFormat="1" ht="11.4">
      <c r="A58" s="239" t="s">
        <v>930</v>
      </c>
      <c r="B58" s="240">
        <f t="shared" si="16"/>
        <v>0</v>
      </c>
      <c r="C58" s="241"/>
      <c r="D58" s="241"/>
      <c r="E58" s="241"/>
      <c r="F58" s="241"/>
      <c r="G58" s="241"/>
      <c r="H58" s="241"/>
      <c r="I58" s="241"/>
      <c r="J58" s="241"/>
      <c r="K58" s="241"/>
      <c r="L58" s="241"/>
      <c r="M58" s="241"/>
      <c r="N58" s="241"/>
      <c r="O58" s="241"/>
      <c r="P58" s="241"/>
      <c r="Q58" s="241"/>
      <c r="R58" s="241">
        <f t="shared" si="18"/>
        <v>0</v>
      </c>
      <c r="S58" s="242"/>
      <c r="T58" s="242"/>
      <c r="U58" s="237"/>
    </row>
    <row r="59" spans="1:21" s="238" customFormat="1" ht="11.4">
      <c r="A59" s="239" t="s">
        <v>931</v>
      </c>
      <c r="B59" s="240">
        <f t="shared" si="16"/>
        <v>0</v>
      </c>
      <c r="C59" s="241"/>
      <c r="D59" s="241"/>
      <c r="E59" s="241"/>
      <c r="F59" s="241"/>
      <c r="G59" s="241"/>
      <c r="H59" s="241"/>
      <c r="I59" s="241"/>
      <c r="J59" s="241"/>
      <c r="K59" s="241"/>
      <c r="L59" s="241"/>
      <c r="M59" s="241"/>
      <c r="N59" s="241"/>
      <c r="O59" s="241"/>
      <c r="P59" s="241"/>
      <c r="Q59" s="241"/>
      <c r="R59" s="241">
        <f t="shared" si="18"/>
        <v>0</v>
      </c>
      <c r="S59" s="242"/>
      <c r="T59" s="242"/>
      <c r="U59" s="237"/>
    </row>
    <row r="60" spans="1:21" s="238" customFormat="1" ht="11.4">
      <c r="A60" s="246" t="s">
        <v>2434</v>
      </c>
      <c r="B60" s="240">
        <f t="shared" si="16"/>
        <v>88000</v>
      </c>
      <c r="C60" s="241">
        <f>78000+10000</f>
        <v>88000</v>
      </c>
      <c r="D60" s="241"/>
      <c r="E60" s="241">
        <f t="shared" si="17"/>
        <v>88000</v>
      </c>
      <c r="F60" s="241"/>
      <c r="G60" s="241"/>
      <c r="H60" s="241"/>
      <c r="I60" s="241"/>
      <c r="J60" s="241"/>
      <c r="K60" s="241"/>
      <c r="L60" s="241"/>
      <c r="M60" s="241"/>
      <c r="N60" s="241"/>
      <c r="O60" s="241"/>
      <c r="P60" s="241"/>
      <c r="Q60" s="241"/>
      <c r="R60" s="241">
        <f t="shared" si="18"/>
        <v>88000</v>
      </c>
      <c r="S60" s="242"/>
      <c r="T60" s="242"/>
      <c r="U60" s="237"/>
    </row>
    <row r="61" spans="1:21" s="238" customFormat="1" ht="13.95" customHeight="1">
      <c r="A61" s="243" t="s">
        <v>500</v>
      </c>
      <c r="B61" s="240">
        <f>SUM(C61:D61)</f>
        <v>135258.41</v>
      </c>
      <c r="C61" s="240">
        <f t="shared" ref="C61:R61" si="19">SUM(C55:C60)</f>
        <v>135258.41</v>
      </c>
      <c r="D61" s="240">
        <f t="shared" si="19"/>
        <v>0</v>
      </c>
      <c r="E61" s="240">
        <f t="shared" si="19"/>
        <v>135258.41</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135258.41</v>
      </c>
      <c r="S61" s="242"/>
      <c r="T61" s="242"/>
      <c r="U61" s="237"/>
    </row>
    <row r="62" spans="1:21" s="238" customFormat="1" ht="11.4">
      <c r="A62" s="249" t="s">
        <v>501</v>
      </c>
      <c r="B62" s="240">
        <f>SUM(C62:D62)</f>
        <v>35637366.989999995</v>
      </c>
      <c r="C62" s="240">
        <f t="shared" ref="C62:R62" si="20">SUM(C8+C11+C13+C14+C15+C26+C27+C38+C42+C43+C53+C61)</f>
        <v>35637366.989999995</v>
      </c>
      <c r="D62" s="240">
        <f t="shared" si="20"/>
        <v>0</v>
      </c>
      <c r="E62" s="240">
        <f t="shared" si="20"/>
        <v>19063875.629999999</v>
      </c>
      <c r="F62" s="240">
        <f t="shared" si="20"/>
        <v>3075841.36</v>
      </c>
      <c r="G62" s="240">
        <f t="shared" si="20"/>
        <v>13497650</v>
      </c>
      <c r="H62" s="240">
        <f t="shared" si="20"/>
        <v>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35637366.989999995</v>
      </c>
      <c r="S62" s="240">
        <f>SUM(S10+S13+S14+S15+S26+S27+S38+S42+S43+S53)</f>
        <v>31565285.239999998</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185000</v>
      </c>
      <c r="C64" s="241">
        <v>185000</v>
      </c>
      <c r="D64" s="241"/>
      <c r="E64" s="241">
        <f t="shared" ref="E64:E68" si="21">C64-SUM(F64:Q64)</f>
        <v>185000</v>
      </c>
      <c r="F64" s="241"/>
      <c r="G64" s="241"/>
      <c r="H64" s="241"/>
      <c r="I64" s="241"/>
      <c r="J64" s="241"/>
      <c r="K64" s="241"/>
      <c r="L64" s="241"/>
      <c r="M64" s="241"/>
      <c r="N64" s="241"/>
      <c r="O64" s="241"/>
      <c r="P64" s="241"/>
      <c r="Q64" s="241"/>
      <c r="R64" s="241">
        <f>SUM(E64:Q64)</f>
        <v>185000</v>
      </c>
      <c r="S64" s="241">
        <v>70000</v>
      </c>
      <c r="T64" s="241"/>
      <c r="U64" s="237"/>
    </row>
    <row r="65" spans="1:21" s="238" customFormat="1" ht="22.8">
      <c r="A65" s="239" t="s">
        <v>1954</v>
      </c>
      <c r="B65" s="240">
        <f>SUM(C65+D65)</f>
        <v>250000</v>
      </c>
      <c r="C65" s="241">
        <v>250000</v>
      </c>
      <c r="D65" s="241"/>
      <c r="E65" s="241">
        <f t="shared" si="21"/>
        <v>250000</v>
      </c>
      <c r="F65" s="241"/>
      <c r="G65" s="241"/>
      <c r="H65" s="241"/>
      <c r="I65" s="241"/>
      <c r="J65" s="241"/>
      <c r="K65" s="241"/>
      <c r="L65" s="241"/>
      <c r="M65" s="241"/>
      <c r="N65" s="241"/>
      <c r="O65" s="241"/>
      <c r="P65" s="241"/>
      <c r="Q65" s="241"/>
      <c r="R65" s="241">
        <f>SUM(E65:Q65)</f>
        <v>250000</v>
      </c>
      <c r="S65" s="241">
        <v>250000</v>
      </c>
      <c r="T65" s="241"/>
      <c r="U65" s="237"/>
    </row>
    <row r="66" spans="1:21" s="238" customFormat="1" ht="22.8">
      <c r="A66" s="239" t="s">
        <v>1955</v>
      </c>
      <c r="B66" s="240">
        <f>SUM(C66+D66)</f>
        <v>352440</v>
      </c>
      <c r="C66" s="241">
        <v>352440</v>
      </c>
      <c r="D66" s="241"/>
      <c r="E66" s="241">
        <f t="shared" si="21"/>
        <v>352440</v>
      </c>
      <c r="F66" s="241"/>
      <c r="G66" s="241"/>
      <c r="H66" s="241"/>
      <c r="I66" s="241"/>
      <c r="J66" s="241"/>
      <c r="K66" s="241"/>
      <c r="L66" s="241"/>
      <c r="M66" s="241"/>
      <c r="N66" s="241"/>
      <c r="O66" s="241"/>
      <c r="P66" s="241"/>
      <c r="Q66" s="241"/>
      <c r="R66" s="241">
        <f>SUM(E66:Q66)</f>
        <v>352440</v>
      </c>
      <c r="S66" s="241">
        <f>R66</f>
        <v>352440</v>
      </c>
      <c r="T66" s="241"/>
      <c r="U66" s="237"/>
    </row>
    <row r="67" spans="1:21" s="238" customFormat="1" ht="11.4">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c r="B68" s="240">
        <f>SUM(C68+D68)</f>
        <v>0</v>
      </c>
      <c r="C68" s="241"/>
      <c r="D68" s="241"/>
      <c r="E68" s="241">
        <f t="shared" si="21"/>
        <v>0</v>
      </c>
      <c r="F68" s="241"/>
      <c r="G68" s="241"/>
      <c r="H68" s="241"/>
      <c r="I68" s="241"/>
      <c r="J68" s="241"/>
      <c r="K68" s="241"/>
      <c r="L68" s="241"/>
      <c r="M68" s="241"/>
      <c r="N68" s="241"/>
      <c r="O68" s="241"/>
      <c r="P68" s="241"/>
      <c r="Q68" s="241"/>
      <c r="R68" s="241">
        <f>SUM(E68:Q68)</f>
        <v>0</v>
      </c>
      <c r="S68" s="241"/>
      <c r="T68" s="241"/>
      <c r="U68" s="237"/>
    </row>
    <row r="69" spans="1:21" s="238" customFormat="1">
      <c r="A69" s="243" t="s">
        <v>1957</v>
      </c>
      <c r="B69" s="240">
        <f>SUM(C69:D69)</f>
        <v>787440</v>
      </c>
      <c r="C69" s="240">
        <f>SUM(C63:C68)</f>
        <v>787440</v>
      </c>
      <c r="D69" s="240">
        <f>SUM(D63:D68)</f>
        <v>0</v>
      </c>
      <c r="E69" s="240">
        <f t="shared" ref="E69:T69" si="22">SUM(E64:E68)</f>
        <v>787440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787440</v>
      </c>
      <c r="S69" s="244">
        <f t="shared" si="22"/>
        <v>672440</v>
      </c>
      <c r="T69" s="244">
        <f t="shared" si="22"/>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225376.89</v>
      </c>
      <c r="C74" s="241">
        <v>225376.89</v>
      </c>
      <c r="D74" s="241"/>
      <c r="E74" s="241">
        <f t="shared" ref="E74" si="23">C74-SUM(F74:Q74)</f>
        <v>225376.89</v>
      </c>
      <c r="F74" s="241"/>
      <c r="G74" s="241"/>
      <c r="H74" s="241"/>
      <c r="I74" s="241"/>
      <c r="J74" s="241"/>
      <c r="K74" s="241"/>
      <c r="L74" s="241"/>
      <c r="M74" s="241"/>
      <c r="N74" s="241"/>
      <c r="O74" s="241"/>
      <c r="P74" s="241"/>
      <c r="Q74" s="241"/>
      <c r="R74" s="241">
        <f>SUM(E74:Q74)</f>
        <v>225376.89</v>
      </c>
      <c r="S74" s="242"/>
      <c r="T74" s="242"/>
      <c r="U74" s="237"/>
    </row>
    <row r="75" spans="1:21" s="238" customFormat="1" ht="11.4">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225376.89</v>
      </c>
      <c r="C76" s="240">
        <f t="shared" ref="C76:Q76" si="24">SUM(C71:C75)</f>
        <v>225376.89</v>
      </c>
      <c r="D76" s="240">
        <f t="shared" si="24"/>
        <v>0</v>
      </c>
      <c r="E76" s="240">
        <f>SUM(E71:E75)</f>
        <v>225376.89</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225376.89</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2554119.64</v>
      </c>
      <c r="C78" s="241">
        <v>2554119.64</v>
      </c>
      <c r="D78" s="241"/>
      <c r="E78" s="241">
        <f t="shared" ref="E78:E79" si="25">C78-SUM(F78:Q78)</f>
        <v>2554119.64</v>
      </c>
      <c r="F78" s="241"/>
      <c r="G78" s="241"/>
      <c r="H78" s="241"/>
      <c r="I78" s="241"/>
      <c r="J78" s="241"/>
      <c r="K78" s="241"/>
      <c r="L78" s="241"/>
      <c r="M78" s="241"/>
      <c r="N78" s="241"/>
      <c r="O78" s="241"/>
      <c r="P78" s="241"/>
      <c r="Q78" s="241"/>
      <c r="R78" s="241">
        <f>SUM(E78:Q78)</f>
        <v>2554119.64</v>
      </c>
      <c r="S78" s="241">
        <f>R78</f>
        <v>2554119.64</v>
      </c>
      <c r="T78" s="241"/>
      <c r="U78" s="237"/>
    </row>
    <row r="79" spans="1:21" s="238" customFormat="1" ht="11.4">
      <c r="A79" s="239" t="s">
        <v>538</v>
      </c>
      <c r="B79" s="240">
        <f>SUM(C79+D79)</f>
        <v>580000</v>
      </c>
      <c r="C79" s="241">
        <v>580000</v>
      </c>
      <c r="D79" s="241"/>
      <c r="E79" s="241">
        <f t="shared" si="25"/>
        <v>580000</v>
      </c>
      <c r="F79" s="241"/>
      <c r="G79" s="241"/>
      <c r="H79" s="241"/>
      <c r="I79" s="241"/>
      <c r="J79" s="241"/>
      <c r="K79" s="241"/>
      <c r="L79" s="241"/>
      <c r="M79" s="241"/>
      <c r="N79" s="241"/>
      <c r="O79" s="241"/>
      <c r="P79" s="241"/>
      <c r="Q79" s="241"/>
      <c r="R79" s="241">
        <f>SUM(E79:Q79)</f>
        <v>580000</v>
      </c>
      <c r="S79" s="241">
        <v>200000</v>
      </c>
      <c r="T79" s="241"/>
      <c r="U79" s="237"/>
    </row>
    <row r="80" spans="1:21" s="238" customFormat="1">
      <c r="A80" s="243" t="s">
        <v>1742</v>
      </c>
      <c r="B80" s="240">
        <f>SUM(C80:D80)</f>
        <v>3134119.64</v>
      </c>
      <c r="C80" s="666">
        <f>SUM(C78:C79)</f>
        <v>3134119.64</v>
      </c>
      <c r="D80" s="666">
        <f t="shared" ref="D80:R80" si="26">SUM(D78:D79)</f>
        <v>0</v>
      </c>
      <c r="E80" s="666">
        <f t="shared" si="26"/>
        <v>3134119.64</v>
      </c>
      <c r="F80" s="666">
        <f t="shared" si="26"/>
        <v>0</v>
      </c>
      <c r="G80" s="666">
        <f t="shared" si="26"/>
        <v>0</v>
      </c>
      <c r="H80" s="666">
        <f t="shared" si="26"/>
        <v>0</v>
      </c>
      <c r="I80" s="666">
        <f t="shared" si="26"/>
        <v>0</v>
      </c>
      <c r="J80" s="666">
        <f t="shared" si="26"/>
        <v>0</v>
      </c>
      <c r="K80" s="666">
        <f t="shared" si="26"/>
        <v>0</v>
      </c>
      <c r="L80" s="666">
        <f t="shared" si="26"/>
        <v>0</v>
      </c>
      <c r="M80" s="666">
        <f t="shared" si="26"/>
        <v>0</v>
      </c>
      <c r="N80" s="666">
        <f t="shared" si="26"/>
        <v>0</v>
      </c>
      <c r="O80" s="666">
        <f t="shared" si="26"/>
        <v>0</v>
      </c>
      <c r="P80" s="666">
        <f t="shared" si="26"/>
        <v>0</v>
      </c>
      <c r="Q80" s="666">
        <f t="shared" si="26"/>
        <v>0</v>
      </c>
      <c r="R80" s="666">
        <f t="shared" si="26"/>
        <v>3134119.64</v>
      </c>
      <c r="S80" s="666">
        <f>SUM(S78:S79)</f>
        <v>2754119.64</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152200</v>
      </c>
      <c r="C82" s="241">
        <f>252200-100000</f>
        <v>152200</v>
      </c>
      <c r="D82" s="241"/>
      <c r="E82" s="241">
        <f t="shared" ref="E82:E91" si="27">C82-SUM(F82:Q82)</f>
        <v>152200</v>
      </c>
      <c r="F82" s="241"/>
      <c r="G82" s="241"/>
      <c r="H82" s="241"/>
      <c r="I82" s="241"/>
      <c r="J82" s="241"/>
      <c r="K82" s="241"/>
      <c r="L82" s="241"/>
      <c r="M82" s="241"/>
      <c r="N82" s="241"/>
      <c r="O82" s="241"/>
      <c r="P82" s="241"/>
      <c r="Q82" s="241"/>
      <c r="R82" s="241">
        <f>SUM(E82:Q82)</f>
        <v>152200</v>
      </c>
      <c r="S82" s="242"/>
      <c r="T82" s="242"/>
      <c r="U82" s="237"/>
    </row>
    <row r="83" spans="1:21" s="238" customFormat="1" ht="11.4">
      <c r="A83" s="239" t="s">
        <v>516</v>
      </c>
      <c r="B83" s="240">
        <f t="shared" ref="B83:B93" si="28">SUM(C83+D83)</f>
        <v>0</v>
      </c>
      <c r="C83" s="241"/>
      <c r="D83" s="241"/>
      <c r="E83" s="241"/>
      <c r="F83" s="241"/>
      <c r="G83" s="241"/>
      <c r="H83" s="241"/>
      <c r="I83" s="241"/>
      <c r="J83" s="241"/>
      <c r="K83" s="241"/>
      <c r="L83" s="241"/>
      <c r="M83" s="241"/>
      <c r="N83" s="241"/>
      <c r="O83" s="241"/>
      <c r="P83" s="241"/>
      <c r="Q83" s="241"/>
      <c r="R83" s="241">
        <f t="shared" ref="R83:R93" si="29">SUM(E83:Q83)</f>
        <v>0</v>
      </c>
      <c r="S83" s="241"/>
      <c r="T83" s="241"/>
      <c r="U83" s="237"/>
    </row>
    <row r="84" spans="1:21" s="238" customFormat="1" ht="11.4">
      <c r="A84" s="239" t="s">
        <v>517</v>
      </c>
      <c r="B84" s="240">
        <f t="shared" si="28"/>
        <v>567004</v>
      </c>
      <c r="C84" s="241">
        <v>567004</v>
      </c>
      <c r="D84" s="241"/>
      <c r="E84" s="241">
        <f t="shared" si="27"/>
        <v>567004</v>
      </c>
      <c r="F84" s="241"/>
      <c r="G84" s="241"/>
      <c r="H84" s="241"/>
      <c r="I84" s="241"/>
      <c r="J84" s="241"/>
      <c r="K84" s="241"/>
      <c r="L84" s="241"/>
      <c r="M84" s="241"/>
      <c r="N84" s="241"/>
      <c r="O84" s="241"/>
      <c r="P84" s="241"/>
      <c r="Q84" s="241"/>
      <c r="R84" s="241">
        <f t="shared" si="29"/>
        <v>567004</v>
      </c>
      <c r="S84" s="241">
        <f>R84</f>
        <v>567004</v>
      </c>
      <c r="T84" s="241"/>
      <c r="U84" s="237"/>
    </row>
    <row r="85" spans="1:21" s="238" customFormat="1" ht="11.4">
      <c r="A85" s="239" t="s">
        <v>518</v>
      </c>
      <c r="B85" s="240">
        <f t="shared" si="28"/>
        <v>0</v>
      </c>
      <c r="C85" s="241"/>
      <c r="D85" s="241"/>
      <c r="E85" s="241"/>
      <c r="F85" s="241"/>
      <c r="G85" s="241"/>
      <c r="H85" s="241"/>
      <c r="I85" s="241"/>
      <c r="J85" s="241"/>
      <c r="K85" s="241"/>
      <c r="L85" s="241"/>
      <c r="M85" s="241"/>
      <c r="N85" s="241"/>
      <c r="O85" s="241"/>
      <c r="P85" s="241"/>
      <c r="Q85" s="241"/>
      <c r="R85" s="241">
        <f t="shared" si="29"/>
        <v>0</v>
      </c>
      <c r="S85" s="241"/>
      <c r="T85" s="241"/>
      <c r="U85" s="237"/>
    </row>
    <row r="86" spans="1:21" s="238" customFormat="1" ht="11.4">
      <c r="A86" s="239" t="s">
        <v>519</v>
      </c>
      <c r="B86" s="240">
        <f t="shared" si="28"/>
        <v>0</v>
      </c>
      <c r="C86" s="241"/>
      <c r="D86" s="241"/>
      <c r="E86" s="241"/>
      <c r="F86" s="241"/>
      <c r="G86" s="241"/>
      <c r="H86" s="241"/>
      <c r="I86" s="241"/>
      <c r="J86" s="241"/>
      <c r="K86" s="241"/>
      <c r="L86" s="241"/>
      <c r="M86" s="241"/>
      <c r="N86" s="241"/>
      <c r="O86" s="241"/>
      <c r="P86" s="241"/>
      <c r="Q86" s="241"/>
      <c r="R86" s="241">
        <f t="shared" si="29"/>
        <v>0</v>
      </c>
      <c r="S86" s="241"/>
      <c r="T86" s="241"/>
      <c r="U86" s="237"/>
    </row>
    <row r="87" spans="1:21" s="238" customFormat="1" ht="11.4">
      <c r="A87" s="239" t="s">
        <v>520</v>
      </c>
      <c r="B87" s="240">
        <f t="shared" si="28"/>
        <v>80175</v>
      </c>
      <c r="C87" s="241">
        <v>80175</v>
      </c>
      <c r="D87" s="241"/>
      <c r="E87" s="241">
        <f t="shared" si="27"/>
        <v>80175</v>
      </c>
      <c r="F87" s="241"/>
      <c r="G87" s="241"/>
      <c r="H87" s="241"/>
      <c r="I87" s="241"/>
      <c r="J87" s="241"/>
      <c r="K87" s="241"/>
      <c r="L87" s="241"/>
      <c r="M87" s="241"/>
      <c r="N87" s="241"/>
      <c r="O87" s="241"/>
      <c r="P87" s="241"/>
      <c r="Q87" s="241"/>
      <c r="R87" s="241">
        <f t="shared" si="29"/>
        <v>80175</v>
      </c>
      <c r="S87" s="242"/>
      <c r="T87" s="242"/>
      <c r="U87" s="237"/>
    </row>
    <row r="88" spans="1:21" s="238" customFormat="1" ht="11.4">
      <c r="A88" s="239" t="s">
        <v>521</v>
      </c>
      <c r="B88" s="240">
        <f t="shared" si="28"/>
        <v>100000</v>
      </c>
      <c r="C88" s="241">
        <v>100000</v>
      </c>
      <c r="D88" s="241"/>
      <c r="E88" s="241">
        <f t="shared" si="27"/>
        <v>100000</v>
      </c>
      <c r="F88" s="241"/>
      <c r="G88" s="241"/>
      <c r="H88" s="241"/>
      <c r="I88" s="241"/>
      <c r="J88" s="241"/>
      <c r="K88" s="241"/>
      <c r="L88" s="241"/>
      <c r="M88" s="241"/>
      <c r="N88" s="241"/>
      <c r="O88" s="241"/>
      <c r="P88" s="241"/>
      <c r="Q88" s="241"/>
      <c r="R88" s="241">
        <f t="shared" si="29"/>
        <v>100000</v>
      </c>
      <c r="S88" s="241">
        <v>100000</v>
      </c>
      <c r="T88" s="241"/>
      <c r="U88" s="237"/>
    </row>
    <row r="89" spans="1:21" s="238" customFormat="1" ht="11.4">
      <c r="A89" s="239" t="s">
        <v>522</v>
      </c>
      <c r="B89" s="240">
        <f t="shared" si="28"/>
        <v>15000</v>
      </c>
      <c r="C89" s="241">
        <v>15000</v>
      </c>
      <c r="D89" s="241"/>
      <c r="E89" s="241">
        <f t="shared" si="27"/>
        <v>15000</v>
      </c>
      <c r="F89" s="241"/>
      <c r="G89" s="241"/>
      <c r="H89" s="241"/>
      <c r="I89" s="241"/>
      <c r="J89" s="241"/>
      <c r="K89" s="241"/>
      <c r="L89" s="241"/>
      <c r="M89" s="241"/>
      <c r="N89" s="241"/>
      <c r="O89" s="241"/>
      <c r="P89" s="241"/>
      <c r="Q89" s="241"/>
      <c r="R89" s="241">
        <f t="shared" si="29"/>
        <v>15000</v>
      </c>
      <c r="S89" s="241">
        <v>15000</v>
      </c>
      <c r="T89" s="241"/>
      <c r="U89" s="237"/>
    </row>
    <row r="90" spans="1:21" s="238" customFormat="1" ht="11.4">
      <c r="A90" s="250" t="s">
        <v>1315</v>
      </c>
      <c r="B90" s="240">
        <f t="shared" si="28"/>
        <v>75000</v>
      </c>
      <c r="C90" s="241">
        <v>75000</v>
      </c>
      <c r="D90" s="241"/>
      <c r="E90" s="241">
        <f t="shared" si="27"/>
        <v>75000</v>
      </c>
      <c r="F90" s="241"/>
      <c r="G90" s="241"/>
      <c r="H90" s="241"/>
      <c r="I90" s="241"/>
      <c r="J90" s="241"/>
      <c r="K90" s="241"/>
      <c r="L90" s="241"/>
      <c r="M90" s="241"/>
      <c r="N90" s="241"/>
      <c r="O90" s="241"/>
      <c r="P90" s="241"/>
      <c r="Q90" s="241"/>
      <c r="R90" s="241">
        <f t="shared" si="29"/>
        <v>75000</v>
      </c>
      <c r="S90" s="241">
        <v>55000</v>
      </c>
      <c r="T90" s="241"/>
      <c r="U90" s="237"/>
    </row>
    <row r="91" spans="1:21" s="238" customFormat="1" ht="11.4">
      <c r="A91" s="250" t="s">
        <v>1740</v>
      </c>
      <c r="B91" s="240">
        <f t="shared" si="28"/>
        <v>15000</v>
      </c>
      <c r="C91" s="241">
        <v>15000</v>
      </c>
      <c r="D91" s="241"/>
      <c r="E91" s="241">
        <f t="shared" si="27"/>
        <v>15000</v>
      </c>
      <c r="F91" s="241"/>
      <c r="G91" s="241"/>
      <c r="H91" s="241"/>
      <c r="I91" s="241"/>
      <c r="J91" s="241"/>
      <c r="K91" s="241"/>
      <c r="L91" s="241"/>
      <c r="M91" s="241"/>
      <c r="N91" s="241"/>
      <c r="O91" s="241"/>
      <c r="P91" s="241"/>
      <c r="Q91" s="241"/>
      <c r="R91" s="241">
        <f t="shared" si="29"/>
        <v>15000</v>
      </c>
      <c r="S91" s="241">
        <v>0</v>
      </c>
      <c r="T91" s="241"/>
      <c r="U91" s="237"/>
    </row>
    <row r="92" spans="1:21" s="238" customFormat="1" ht="11.4">
      <c r="A92" s="246" t="s">
        <v>533</v>
      </c>
      <c r="B92" s="240">
        <f t="shared" si="28"/>
        <v>0</v>
      </c>
      <c r="C92" s="241"/>
      <c r="D92" s="241"/>
      <c r="E92" s="241"/>
      <c r="F92" s="241"/>
      <c r="G92" s="241"/>
      <c r="H92" s="241"/>
      <c r="I92" s="241"/>
      <c r="J92" s="241"/>
      <c r="K92" s="241"/>
      <c r="L92" s="241"/>
      <c r="M92" s="241"/>
      <c r="N92" s="241"/>
      <c r="O92" s="241"/>
      <c r="P92" s="241"/>
      <c r="Q92" s="241"/>
      <c r="R92" s="241">
        <f t="shared" si="29"/>
        <v>0</v>
      </c>
      <c r="S92" s="241"/>
      <c r="T92" s="241"/>
      <c r="U92" s="237"/>
    </row>
    <row r="93" spans="1:21" s="238" customFormat="1" ht="11.4">
      <c r="A93" s="246" t="s">
        <v>533</v>
      </c>
      <c r="B93" s="240">
        <f t="shared" si="28"/>
        <v>0</v>
      </c>
      <c r="C93" s="241"/>
      <c r="D93" s="241"/>
      <c r="E93" s="241"/>
      <c r="F93" s="241"/>
      <c r="G93" s="241"/>
      <c r="H93" s="241"/>
      <c r="I93" s="241"/>
      <c r="J93" s="241"/>
      <c r="K93" s="241"/>
      <c r="L93" s="241"/>
      <c r="M93" s="241"/>
      <c r="N93" s="241"/>
      <c r="O93" s="241"/>
      <c r="P93" s="241"/>
      <c r="Q93" s="241"/>
      <c r="R93" s="241">
        <f t="shared" si="29"/>
        <v>0</v>
      </c>
      <c r="S93" s="241"/>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1004379</v>
      </c>
      <c r="C95" s="240">
        <f t="shared" ref="C95:R95" si="30">SUM(C82:C94)</f>
        <v>1004379</v>
      </c>
      <c r="D95" s="240">
        <f t="shared" si="30"/>
        <v>0</v>
      </c>
      <c r="E95" s="240">
        <f t="shared" si="30"/>
        <v>1004379</v>
      </c>
      <c r="F95" s="240">
        <f t="shared" si="30"/>
        <v>0</v>
      </c>
      <c r="G95" s="240">
        <f t="shared" si="30"/>
        <v>0</v>
      </c>
      <c r="H95" s="240">
        <f t="shared" si="30"/>
        <v>0</v>
      </c>
      <c r="I95" s="240">
        <f t="shared" si="30"/>
        <v>0</v>
      </c>
      <c r="J95" s="240">
        <f t="shared" si="30"/>
        <v>0</v>
      </c>
      <c r="K95" s="240">
        <f t="shared" si="30"/>
        <v>0</v>
      </c>
      <c r="L95" s="240">
        <f t="shared" si="30"/>
        <v>0</v>
      </c>
      <c r="M95" s="240">
        <f t="shared" si="30"/>
        <v>0</v>
      </c>
      <c r="N95" s="240">
        <f t="shared" si="30"/>
        <v>0</v>
      </c>
      <c r="O95" s="240">
        <f t="shared" si="30"/>
        <v>0</v>
      </c>
      <c r="P95" s="240">
        <f t="shared" si="30"/>
        <v>0</v>
      </c>
      <c r="Q95" s="240">
        <f t="shared" si="30"/>
        <v>0</v>
      </c>
      <c r="R95" s="240">
        <f t="shared" si="30"/>
        <v>1004379</v>
      </c>
      <c r="S95" s="244">
        <f>SUM(S83:S86,S88:S94)</f>
        <v>737004</v>
      </c>
      <c r="T95" s="240">
        <f>SUM(T83:T86,T88:T94)</f>
        <v>0</v>
      </c>
      <c r="U95" s="237"/>
    </row>
    <row r="96" spans="1:21" s="238" customFormat="1">
      <c r="A96" s="243" t="s">
        <v>524</v>
      </c>
      <c r="B96" s="240">
        <f>SUM(C96:D96)</f>
        <v>40788682.519999996</v>
      </c>
      <c r="C96" s="240">
        <f t="shared" ref="C96:R96" si="31">SUM(C62+C69+C76+C80+C95)</f>
        <v>40788682.519999996</v>
      </c>
      <c r="D96" s="240">
        <f t="shared" si="31"/>
        <v>0</v>
      </c>
      <c r="E96" s="240">
        <f t="shared" si="31"/>
        <v>24215191.16</v>
      </c>
      <c r="F96" s="240">
        <f t="shared" si="31"/>
        <v>3075841.36</v>
      </c>
      <c r="G96" s="240">
        <f t="shared" si="31"/>
        <v>13497650</v>
      </c>
      <c r="H96" s="240">
        <f t="shared" si="31"/>
        <v>0</v>
      </c>
      <c r="I96" s="240">
        <f t="shared" si="31"/>
        <v>0</v>
      </c>
      <c r="J96" s="240">
        <f t="shared" si="31"/>
        <v>0</v>
      </c>
      <c r="K96" s="240">
        <f t="shared" si="31"/>
        <v>0</v>
      </c>
      <c r="L96" s="240">
        <f t="shared" si="31"/>
        <v>0</v>
      </c>
      <c r="M96" s="240">
        <f t="shared" si="31"/>
        <v>0</v>
      </c>
      <c r="N96" s="240">
        <f t="shared" si="31"/>
        <v>0</v>
      </c>
      <c r="O96" s="240">
        <f t="shared" si="31"/>
        <v>0</v>
      </c>
      <c r="P96" s="240">
        <f t="shared" si="31"/>
        <v>0</v>
      </c>
      <c r="Q96" s="240">
        <f t="shared" si="31"/>
        <v>0</v>
      </c>
      <c r="R96" s="240">
        <f t="shared" si="31"/>
        <v>40788682.519999996</v>
      </c>
      <c r="S96" s="244">
        <f>SUM(+S62+S69+S80+S95)</f>
        <v>35728848.879999995</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 t="shared" ref="E98" si="32">C98-SUM(F98:Q98)</f>
        <v>2451465.58</v>
      </c>
      <c r="F98" s="241"/>
      <c r="G98" s="241"/>
      <c r="H98" s="241">
        <f>H107</f>
        <v>48534.42</v>
      </c>
      <c r="I98" s="241"/>
      <c r="J98" s="241"/>
      <c r="K98" s="241"/>
      <c r="L98" s="241"/>
      <c r="M98" s="241"/>
      <c r="N98" s="241"/>
      <c r="O98" s="241"/>
      <c r="P98" s="241"/>
      <c r="Q98" s="241"/>
      <c r="R98" s="241">
        <f>SUM(E98:Q98)</f>
        <v>2500000</v>
      </c>
      <c r="S98" s="241">
        <f>R98</f>
        <v>2500000</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3">SUM(C98:C102)</f>
        <v>2500000</v>
      </c>
      <c r="D103" s="240">
        <f t="shared" si="33"/>
        <v>0</v>
      </c>
      <c r="E103" s="240">
        <f t="shared" si="33"/>
        <v>2451465.58</v>
      </c>
      <c r="F103" s="240">
        <f t="shared" si="33"/>
        <v>0</v>
      </c>
      <c r="G103" s="240">
        <f t="shared" si="33"/>
        <v>0</v>
      </c>
      <c r="H103" s="240">
        <f t="shared" si="33"/>
        <v>48534.42</v>
      </c>
      <c r="I103" s="240">
        <f t="shared" si="33"/>
        <v>0</v>
      </c>
      <c r="J103" s="240">
        <f t="shared" si="33"/>
        <v>0</v>
      </c>
      <c r="K103" s="240">
        <f t="shared" si="33"/>
        <v>0</v>
      </c>
      <c r="L103" s="240">
        <f t="shared" si="33"/>
        <v>0</v>
      </c>
      <c r="M103" s="240">
        <f t="shared" si="33"/>
        <v>0</v>
      </c>
      <c r="N103" s="240">
        <f t="shared" si="33"/>
        <v>0</v>
      </c>
      <c r="O103" s="240">
        <f t="shared" si="33"/>
        <v>0</v>
      </c>
      <c r="P103" s="240">
        <f t="shared" si="33"/>
        <v>0</v>
      </c>
      <c r="Q103" s="240">
        <f t="shared" si="33"/>
        <v>0</v>
      </c>
      <c r="R103" s="240">
        <f t="shared" si="33"/>
        <v>2500000</v>
      </c>
      <c r="S103" s="244">
        <f t="shared" si="33"/>
        <v>2500000</v>
      </c>
      <c r="T103" s="244">
        <f t="shared" si="33"/>
        <v>0</v>
      </c>
      <c r="U103" s="237"/>
    </row>
    <row r="104" spans="1:21" s="238" customFormat="1">
      <c r="A104" s="243" t="s">
        <v>1156</v>
      </c>
      <c r="B104" s="244">
        <f>SUM(C104:D104)</f>
        <v>43288682.519999996</v>
      </c>
      <c r="C104" s="244">
        <f t="shared" ref="C104:R104" si="34">SUM(C96+C103)</f>
        <v>43288682.519999996</v>
      </c>
      <c r="D104" s="244">
        <f t="shared" si="34"/>
        <v>0</v>
      </c>
      <c r="E104" s="244">
        <f t="shared" si="34"/>
        <v>26666656.740000002</v>
      </c>
      <c r="F104" s="244">
        <f t="shared" si="34"/>
        <v>3075841.36</v>
      </c>
      <c r="G104" s="244">
        <f t="shared" si="34"/>
        <v>13497650</v>
      </c>
      <c r="H104" s="244">
        <f t="shared" si="34"/>
        <v>48534.42</v>
      </c>
      <c r="I104" s="244">
        <f t="shared" si="34"/>
        <v>0</v>
      </c>
      <c r="J104" s="244">
        <f t="shared" si="34"/>
        <v>0</v>
      </c>
      <c r="K104" s="244">
        <f t="shared" si="34"/>
        <v>0</v>
      </c>
      <c r="L104" s="244">
        <f t="shared" si="34"/>
        <v>0</v>
      </c>
      <c r="M104" s="244">
        <f t="shared" si="34"/>
        <v>0</v>
      </c>
      <c r="N104" s="244">
        <f t="shared" si="34"/>
        <v>0</v>
      </c>
      <c r="O104" s="244">
        <f t="shared" si="34"/>
        <v>0</v>
      </c>
      <c r="P104" s="244">
        <f t="shared" si="34"/>
        <v>0</v>
      </c>
      <c r="Q104" s="244">
        <f t="shared" si="34"/>
        <v>0</v>
      </c>
      <c r="R104" s="240">
        <f t="shared" si="34"/>
        <v>43288682.519999996</v>
      </c>
      <c r="S104" s="244">
        <f>S96+S103</f>
        <v>38228848.879999995</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38228848.879999995</v>
      </c>
      <c r="T106" s="244">
        <f>T104+T105</f>
        <v>0</v>
      </c>
      <c r="U106" s="256"/>
    </row>
    <row r="107" spans="1:21" s="258" customFormat="1">
      <c r="A107" s="257" t="s">
        <v>1107</v>
      </c>
      <c r="B107" s="252"/>
      <c r="C107" s="252"/>
      <c r="D107" s="252"/>
      <c r="E107" s="240">
        <f>Application!AO634</f>
        <v>26666656.739999998</v>
      </c>
      <c r="F107" s="240">
        <f>Application!AO621</f>
        <v>3075841.36</v>
      </c>
      <c r="G107" s="240">
        <f>Application!AO622</f>
        <v>13497650</v>
      </c>
      <c r="H107" s="240">
        <f>Application!AO623</f>
        <v>48534.42</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5" t="s">
        <v>1291</v>
      </c>
      <c r="E122" s="1585"/>
      <c r="F122" s="1585"/>
      <c r="U122" s="256"/>
    </row>
    <row r="123" spans="1:21" s="253" customFormat="1" ht="11.4">
      <c r="A123" s="253" t="s">
        <v>1292</v>
      </c>
      <c r="B123" s="546"/>
      <c r="D123" s="1587"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3.2">
      <c r="A129" s="209" t="s">
        <v>499</v>
      </c>
      <c r="B129" s="546"/>
      <c r="C129" s="209"/>
      <c r="D129" s="1584" t="s">
        <v>1298</v>
      </c>
      <c r="E129" s="1584"/>
      <c r="F129" s="1584"/>
      <c r="G129" s="1584"/>
      <c r="H129" s="1584"/>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3.2">
      <c r="A132" s="548"/>
      <c r="B132" s="209"/>
      <c r="C132" s="209"/>
      <c r="D132" s="1588" t="s">
        <v>1301</v>
      </c>
      <c r="E132" s="1588"/>
      <c r="F132" s="1588"/>
      <c r="G132" s="1588"/>
      <c r="H132" s="1588"/>
      <c r="I132" s="209"/>
      <c r="J132" s="1588" t="s">
        <v>1302</v>
      </c>
      <c r="K132" s="1588"/>
      <c r="L132" s="1588"/>
      <c r="M132" s="1588"/>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2"/>
      <c r="C138" s="1582"/>
      <c r="D138" s="352"/>
      <c r="E138" s="1583"/>
      <c r="F138" s="1583"/>
      <c r="G138" s="209"/>
      <c r="H138" s="209"/>
      <c r="I138" s="209"/>
      <c r="J138" s="209"/>
      <c r="K138" s="209"/>
      <c r="L138" s="209"/>
      <c r="M138" s="209"/>
      <c r="N138" s="209"/>
      <c r="O138" s="209"/>
      <c r="P138" s="209"/>
      <c r="Q138" s="209"/>
      <c r="R138" s="209"/>
      <c r="S138" s="209"/>
    </row>
    <row r="139" spans="1:21" ht="12" customHeight="1">
      <c r="A139" s="1586" t="s">
        <v>1304</v>
      </c>
      <c r="B139" s="1586"/>
      <c r="C139" s="1586"/>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AL52" sqref="AL5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09" t="s">
        <v>1746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NON-DDA/
NON-QCT Building(s)</v>
      </c>
      <c r="U7" s="1597"/>
      <c r="V7" s="1597"/>
      <c r="W7" s="1597"/>
      <c r="X7" s="1597"/>
      <c r="Y7" s="1597" t="str">
        <f>IF(T25=100%,"",'Sources and Basis Breakdown'!G2)</f>
        <v/>
      </c>
      <c r="Z7" s="1597"/>
      <c r="AA7" s="1597"/>
      <c r="AB7" s="1597"/>
      <c r="AC7" s="1597"/>
      <c r="AD7" s="1597" t="str">
        <f>IF(T25=100%,'Sources and Basis Breakdown'!J2,'Sources and Basis Breakdown'!I2)</f>
        <v>30% PVC for Acquisition
NON-DDA/
NON-QCT Building(s)</v>
      </c>
      <c r="AE7" s="1597"/>
      <c r="AF7" s="1597"/>
      <c r="AG7" s="1597"/>
      <c r="AH7" s="1597"/>
      <c r="AI7" s="1597" t="str">
        <f>IF(T25=100%,"",'Sources and Basis Breakdown'!J2)</f>
        <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38228848.879999995</v>
      </c>
      <c r="U11" s="1614"/>
      <c r="V11" s="1614"/>
      <c r="W11" s="1614"/>
      <c r="X11" s="1614"/>
      <c r="Y11" s="1613">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1712</v>
      </c>
      <c r="D13" s="1624"/>
      <c r="E13" s="1624"/>
      <c r="F13" s="1624"/>
      <c r="G13" s="1624"/>
      <c r="H13" s="1624"/>
      <c r="I13" s="1624"/>
      <c r="J13" s="1624"/>
      <c r="K13" s="1624"/>
      <c r="L13" s="1624"/>
      <c r="M13" s="1624"/>
      <c r="N13" s="1624"/>
      <c r="O13" s="1624"/>
      <c r="P13" s="1624"/>
      <c r="Q13" s="1624"/>
      <c r="R13" s="1624"/>
      <c r="S13" s="1625"/>
      <c r="T13" s="1615"/>
      <c r="U13" s="1612"/>
      <c r="V13" s="1612"/>
      <c r="W13" s="1612"/>
      <c r="X13" s="1612"/>
      <c r="Y13" s="1615"/>
      <c r="Z13" s="1612"/>
      <c r="AA13" s="1612"/>
      <c r="AB13" s="1612"/>
      <c r="AC13" s="1612"/>
      <c r="AD13" s="1612"/>
      <c r="AE13" s="1612"/>
      <c r="AF13" s="1612"/>
      <c r="AG13" s="1612"/>
      <c r="AH13" s="1612"/>
      <c r="AI13" s="1612"/>
      <c r="AJ13" s="1612"/>
      <c r="AK13" s="1612"/>
      <c r="AL13" s="1612"/>
      <c r="AM13" s="1612"/>
    </row>
    <row r="14" spans="1:40" ht="12.9" customHeight="1">
      <c r="B14" s="8"/>
      <c r="C14" s="1624" t="s">
        <v>768</v>
      </c>
      <c r="D14" s="1624"/>
      <c r="E14" s="1624"/>
      <c r="F14" s="1624"/>
      <c r="G14" s="1624"/>
      <c r="H14" s="1624"/>
      <c r="I14" s="1624"/>
      <c r="J14" s="1624"/>
      <c r="K14" s="1624"/>
      <c r="L14" s="1624"/>
      <c r="M14" s="1624"/>
      <c r="N14" s="1624"/>
      <c r="O14" s="1624"/>
      <c r="P14" s="1624"/>
      <c r="Q14" s="1624"/>
      <c r="R14" s="1624"/>
      <c r="S14" s="1625"/>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 customHeight="1">
      <c r="B15" s="8"/>
      <c r="C15" s="1624" t="s">
        <v>769</v>
      </c>
      <c r="D15" s="1624"/>
      <c r="E15" s="1624"/>
      <c r="F15" s="1624"/>
      <c r="G15" s="1624"/>
      <c r="H15" s="1624"/>
      <c r="I15" s="1624"/>
      <c r="J15" s="1624"/>
      <c r="K15" s="1624"/>
      <c r="L15" s="1624"/>
      <c r="M15" s="1624"/>
      <c r="N15" s="1624"/>
      <c r="O15" s="1624"/>
      <c r="P15" s="1624"/>
      <c r="Q15" s="1624"/>
      <c r="R15" s="1624"/>
      <c r="S15" s="1625"/>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 customHeight="1">
      <c r="B16" s="8"/>
      <c r="C16" s="1623" t="s">
        <v>1012</v>
      </c>
      <c r="D16" s="1623"/>
      <c r="E16" s="1623"/>
      <c r="F16" s="1623"/>
      <c r="G16" s="1623"/>
      <c r="H16" s="1623"/>
      <c r="I16" s="1623"/>
      <c r="J16" s="1623"/>
      <c r="K16" s="1623"/>
      <c r="L16" s="1623"/>
      <c r="M16" s="1623"/>
      <c r="N16" s="1623"/>
      <c r="O16" s="1623"/>
      <c r="P16" s="1623"/>
      <c r="Q16" s="1623"/>
      <c r="R16" s="1623"/>
      <c r="S16" s="1626"/>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 customHeight="1">
      <c r="B17" s="8"/>
      <c r="C17" s="1624" t="s">
        <v>770</v>
      </c>
      <c r="D17" s="1624"/>
      <c r="E17" s="1624"/>
      <c r="F17" s="1624"/>
      <c r="G17" s="1624"/>
      <c r="H17" s="1624"/>
      <c r="I17" s="1624"/>
      <c r="J17" s="1624"/>
      <c r="K17" s="1624"/>
      <c r="L17" s="1624"/>
      <c r="M17" s="1624"/>
      <c r="N17" s="1624"/>
      <c r="O17" s="1624"/>
      <c r="P17" s="1624"/>
      <c r="Q17" s="1624"/>
      <c r="R17" s="1624"/>
      <c r="S17" s="1625"/>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 customHeight="1">
      <c r="B18" s="940"/>
      <c r="C18" s="1619" t="s">
        <v>1217</v>
      </c>
      <c r="D18" s="1619"/>
      <c r="E18" s="1619"/>
      <c r="F18" s="1619"/>
      <c r="G18" s="1619"/>
      <c r="H18" s="1619"/>
      <c r="I18" s="1619"/>
      <c r="J18" s="1619"/>
      <c r="K18" s="1619"/>
      <c r="L18" s="1619"/>
      <c r="M18" s="1619"/>
      <c r="N18" s="1619"/>
      <c r="O18" s="1619"/>
      <c r="P18" s="1619"/>
      <c r="Q18" s="1619"/>
      <c r="R18" s="1619"/>
      <c r="S18" s="1620"/>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 customHeight="1">
      <c r="B19" s="484"/>
      <c r="C19" s="1619" t="s">
        <v>1217</v>
      </c>
      <c r="D19" s="1619"/>
      <c r="E19" s="1619"/>
      <c r="F19" s="1619"/>
      <c r="G19" s="1619"/>
      <c r="H19" s="1619"/>
      <c r="I19" s="1619"/>
      <c r="J19" s="1619"/>
      <c r="K19" s="1619"/>
      <c r="L19" s="1619"/>
      <c r="M19" s="1619"/>
      <c r="N19" s="1619"/>
      <c r="O19" s="1619"/>
      <c r="P19" s="1619"/>
      <c r="Q19" s="1619"/>
      <c r="R19" s="1619"/>
      <c r="S19" s="1620"/>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3"/>
      <c r="V20" s="1293"/>
      <c r="W20" s="1293"/>
      <c r="X20" s="1293"/>
      <c r="Y20" s="1594">
        <f>SUM(Y13:AC19)</f>
        <v>0</v>
      </c>
      <c r="Z20" s="1293"/>
      <c r="AA20" s="1293"/>
      <c r="AB20" s="1293"/>
      <c r="AC20" s="1293"/>
      <c r="AD20" s="1293">
        <f>SUM(AD13:AH19)</f>
        <v>0</v>
      </c>
      <c r="AE20" s="1293"/>
      <c r="AF20" s="1293"/>
      <c r="AG20" s="1293"/>
      <c r="AH20" s="1293"/>
      <c r="AI20" s="1293">
        <f>SUM(AI13:AM19)</f>
        <v>0</v>
      </c>
      <c r="AJ20" s="1293"/>
      <c r="AK20" s="1293"/>
      <c r="AL20" s="1293"/>
      <c r="AM20" s="1293"/>
    </row>
    <row r="21" spans="1:39" ht="12.9" customHeight="1">
      <c r="B21" s="1102" t="s">
        <v>1711</v>
      </c>
      <c r="C21" s="1103"/>
      <c r="D21" s="1103"/>
      <c r="E21" s="1103"/>
      <c r="F21" s="1103"/>
      <c r="G21" s="1103"/>
      <c r="H21" s="1103"/>
      <c r="I21" s="1103"/>
      <c r="J21" s="1103"/>
      <c r="K21" s="1103"/>
      <c r="L21" s="1103"/>
      <c r="M21" s="1103"/>
      <c r="N21" s="1103"/>
      <c r="O21" s="1103"/>
      <c r="P21" s="1103"/>
      <c r="Q21" s="1103"/>
      <c r="R21" s="1103"/>
      <c r="S21" s="1105"/>
      <c r="T21" s="1165">
        <f>10440000</f>
        <v>10440000</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 customHeight="1">
      <c r="B22" s="1102" t="s">
        <v>772</v>
      </c>
      <c r="C22" s="1103"/>
      <c r="D22" s="1103"/>
      <c r="E22" s="1103"/>
      <c r="F22" s="1103"/>
      <c r="G22" s="1103"/>
      <c r="H22" s="1103"/>
      <c r="I22" s="1103"/>
      <c r="J22" s="1103"/>
      <c r="K22" s="1103"/>
      <c r="L22" s="1103"/>
      <c r="M22" s="1103"/>
      <c r="N22" s="1103"/>
      <c r="O22" s="1103"/>
      <c r="P22" s="1103"/>
      <c r="Q22" s="1103"/>
      <c r="R22" s="1103"/>
      <c r="S22" s="1105"/>
      <c r="T22" s="1628">
        <f>(ABS(T20)+ABS(T21))*-1</f>
        <v>-10440000</v>
      </c>
      <c r="U22" s="1629"/>
      <c r="V22" s="1629"/>
      <c r="W22" s="1629"/>
      <c r="X22" s="1629"/>
      <c r="Y22" s="1628">
        <f t="shared" ref="Y22" si="0">(ABS(Y20)+ABS(Y21))*-1</f>
        <v>0</v>
      </c>
      <c r="Z22" s="1629"/>
      <c r="AA22" s="1629"/>
      <c r="AB22" s="1629"/>
      <c r="AC22" s="1629"/>
      <c r="AD22" s="1628">
        <f t="shared" ref="AD22" si="1">(ABS(AD20)+ABS(AD21))*-1</f>
        <v>0</v>
      </c>
      <c r="AE22" s="1629"/>
      <c r="AF22" s="1629"/>
      <c r="AG22" s="1629"/>
      <c r="AH22" s="1629"/>
      <c r="AI22" s="1628">
        <f t="shared" ref="AI22" si="2">(ABS(AI20)+ABS(AI21))*-1</f>
        <v>0</v>
      </c>
      <c r="AJ22" s="1629"/>
      <c r="AK22" s="1629"/>
      <c r="AL22" s="1629"/>
      <c r="AM22" s="1629"/>
    </row>
    <row r="23" spans="1:39" ht="12.9" customHeight="1">
      <c r="B23" s="1102" t="s">
        <v>1905</v>
      </c>
      <c r="C23" s="1103"/>
      <c r="D23" s="1103"/>
      <c r="E23" s="1103"/>
      <c r="F23" s="1103"/>
      <c r="G23" s="1103"/>
      <c r="H23" s="1103"/>
      <c r="I23" s="1103"/>
      <c r="J23" s="1103"/>
      <c r="K23" s="1103"/>
      <c r="L23" s="1103"/>
      <c r="M23" s="1103"/>
      <c r="N23" s="1103"/>
      <c r="O23" s="1103"/>
      <c r="P23" s="1103"/>
      <c r="Q23" s="1103"/>
      <c r="R23" s="1103"/>
      <c r="S23" s="1105"/>
      <c r="T23" s="1594">
        <f>T11+T22</f>
        <v>27788848.879999995</v>
      </c>
      <c r="U23" s="1293"/>
      <c r="V23" s="1293"/>
      <c r="W23" s="1293"/>
      <c r="X23" s="1293"/>
      <c r="Y23" s="1594">
        <f>Y11+Y22</f>
        <v>0</v>
      </c>
      <c r="Z23" s="1293"/>
      <c r="AA23" s="1293"/>
      <c r="AB23" s="1293"/>
      <c r="AC23" s="1293"/>
      <c r="AD23" s="1594">
        <f>IF(AD11=AD21,0,AD11)</f>
        <v>0</v>
      </c>
      <c r="AE23" s="1293"/>
      <c r="AF23" s="1293"/>
      <c r="AG23" s="1293"/>
      <c r="AH23" s="1293"/>
      <c r="AI23" s="1594">
        <f>IF(AI11=AI21,0,AI11)</f>
        <v>0</v>
      </c>
      <c r="AJ23" s="1293"/>
      <c r="AK23" s="1293"/>
      <c r="AL23" s="1293"/>
      <c r="AM23" s="1293"/>
    </row>
    <row r="24" spans="1:39" ht="12.9"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Application!AJ1020</f>
        <v>42665663</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1907</v>
      </c>
      <c r="C25" s="1636"/>
      <c r="D25" s="1636"/>
      <c r="E25" s="1636"/>
      <c r="F25" s="1636"/>
      <c r="G25" s="1636"/>
      <c r="H25" s="1636"/>
      <c r="I25" s="1636"/>
      <c r="J25" s="1636"/>
      <c r="K25" s="1636"/>
      <c r="L25" s="1636"/>
      <c r="M25" s="1636"/>
      <c r="N25" s="1636"/>
      <c r="O25" s="1636"/>
      <c r="P25" s="1636"/>
      <c r="Q25" s="1636"/>
      <c r="R25" s="1636"/>
      <c r="S25" s="1637"/>
      <c r="T25" s="1630">
        <f>IF(OR(AND(Application!T193="no",Application!T194="no",Application!T196="no",Application!Y211="no"),Application!T195="yes"),1,1.3)</f>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27788848.879999995</v>
      </c>
      <c r="U26" s="1606"/>
      <c r="V26" s="1606"/>
      <c r="W26" s="1606"/>
      <c r="X26" s="1606"/>
      <c r="Y26" s="1093">
        <f>Y23*Y25</f>
        <v>0</v>
      </c>
      <c r="Z26" s="1606"/>
      <c r="AA26" s="1606"/>
      <c r="AB26" s="1606"/>
      <c r="AC26" s="1606"/>
      <c r="AD26" s="1093">
        <f>AD23*AD25</f>
        <v>0</v>
      </c>
      <c r="AE26" s="1606"/>
      <c r="AF26" s="1606"/>
      <c r="AG26" s="1606"/>
      <c r="AH26" s="1606"/>
      <c r="AI26" s="1093">
        <f>AI23*AI25</f>
        <v>0</v>
      </c>
      <c r="AJ26" s="1606"/>
      <c r="AK26" s="1606"/>
      <c r="AL26" s="1606"/>
      <c r="AM26" s="1606"/>
    </row>
    <row r="27" spans="1:39" ht="12.9"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27788848.879999995</v>
      </c>
      <c r="U28" s="1606"/>
      <c r="V28" s="1606"/>
      <c r="W28" s="1606"/>
      <c r="X28" s="1606"/>
      <c r="Y28" s="1093">
        <f>IF(ISERROR((Y26*Y27)),0,(Y26*Y27))</f>
        <v>0</v>
      </c>
      <c r="Z28" s="1606"/>
      <c r="AA28" s="1606"/>
      <c r="AB28" s="1606"/>
      <c r="AC28" s="1606"/>
      <c r="AD28" s="1093">
        <f>IF(ISERROR((AD26*AD27)),0,(AD26*AD27))</f>
        <v>0</v>
      </c>
      <c r="AE28" s="1606"/>
      <c r="AF28" s="1606"/>
      <c r="AG28" s="1606"/>
      <c r="AH28" s="1606"/>
      <c r="AI28" s="1093">
        <f>IF(ISERROR((AI26*AI27)),0,(AI26*AI27))</f>
        <v>0</v>
      </c>
      <c r="AJ28" s="1606"/>
      <c r="AK28" s="1606"/>
      <c r="AL28" s="1606"/>
      <c r="AM28" s="1606"/>
    </row>
    <row r="29" spans="1:39" ht="12.9"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27788848.879999995</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608" t="s">
        <v>1906</v>
      </c>
      <c r="C30" s="1608"/>
      <c r="D30" s="1608"/>
      <c r="E30" s="1608"/>
      <c r="F30" s="1608"/>
      <c r="G30" s="1608"/>
      <c r="H30" s="1608"/>
      <c r="I30" s="1608"/>
      <c r="J30" s="1608"/>
      <c r="K30" s="1608"/>
      <c r="L30" s="1608"/>
      <c r="M30" s="1608"/>
      <c r="N30" s="1608"/>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row>
    <row r="31" spans="1:39" ht="12.9" customHeight="1">
      <c r="B31" s="1590" t="s">
        <v>1908</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4" ht="12.9" customHeight="1">
      <c r="B36" s="204"/>
      <c r="X36" s="71"/>
      <c r="Y36" s="1597"/>
      <c r="Z36" s="1597"/>
      <c r="AA36" s="1597"/>
      <c r="AB36" s="1597"/>
      <c r="AC36" s="1597"/>
      <c r="AD36" s="1225"/>
      <c r="AE36" s="1225"/>
      <c r="AF36" s="1225"/>
      <c r="AG36" s="1225"/>
      <c r="AH36" s="1225"/>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4" ht="12.9"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3">
        <f>IF(T24&gt;=(T23+Y23+AD23+AI23),T28+Y28,0)</f>
        <v>27788848.879999995</v>
      </c>
      <c r="Z38" s="1293"/>
      <c r="AA38" s="1293"/>
      <c r="AB38" s="1293"/>
      <c r="AC38" s="1293"/>
      <c r="AD38" s="1293">
        <f>IF(T24&gt;=(T23+Y23+AD23+AI23),AD28+AI28,0)</f>
        <v>0</v>
      </c>
      <c r="AE38" s="1293"/>
      <c r="AF38" s="1293"/>
      <c r="AG38" s="1293"/>
      <c r="AH38" s="1293"/>
    </row>
    <row r="39" spans="1:44" ht="12.9" customHeight="1">
      <c r="B39" s="1102" t="s">
        <v>1815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3">
        <v>0.09</v>
      </c>
      <c r="Z39" s="1593"/>
      <c r="AA39" s="1593"/>
      <c r="AB39" s="1593"/>
      <c r="AC39" s="1593"/>
      <c r="AD39" s="1593">
        <v>0.04</v>
      </c>
      <c r="AE39" s="1593"/>
      <c r="AF39" s="1593"/>
      <c r="AG39" s="1593"/>
      <c r="AH39" s="1593"/>
    </row>
    <row r="40" spans="1:44"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3">
        <f>ROUND(Y38*Y39,0)</f>
        <v>2500996</v>
      </c>
      <c r="Z40" s="1293"/>
      <c r="AA40" s="1293"/>
      <c r="AB40" s="1293"/>
      <c r="AC40" s="1293"/>
      <c r="AD40" s="1594">
        <f>ROUND(AD38*AD39,0)</f>
        <v>0</v>
      </c>
      <c r="AE40" s="1293"/>
      <c r="AF40" s="1293"/>
      <c r="AG40" s="1293"/>
      <c r="AH40" s="1293"/>
    </row>
    <row r="41" spans="1:44" ht="12.9"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IF(Application!Y211="No",'Basis &amp; Credits'!AR42,AR43)</f>
        <v>2500000</v>
      </c>
      <c r="Z41" s="1596"/>
      <c r="AA41" s="1596"/>
      <c r="AB41" s="1596"/>
      <c r="AC41" s="1596"/>
      <c r="AD41" s="1596"/>
      <c r="AE41" s="1596"/>
      <c r="AF41" s="1596"/>
      <c r="AG41" s="1596"/>
      <c r="AH41" s="1594"/>
    </row>
    <row r="42" spans="1:44" ht="12.9" customHeight="1">
      <c r="A42" s="3"/>
      <c r="B42" s="1605" t="s">
        <v>1816</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2500996</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26">
        <f>'Sources and Uses Budget'!B104-(MAX(IF('Sources and Uses Budget'!B15="",0,'Sources and Uses Budget'!B15),IF(Application!AG387="",0,Application!AG387)))</f>
        <v>43288682.519999996</v>
      </c>
      <c r="AC46" s="1227"/>
      <c r="AD46" s="1227"/>
      <c r="AE46" s="1227"/>
      <c r="AF46" s="1228"/>
    </row>
    <row r="47" spans="1:44" ht="12.9" customHeight="1">
      <c r="D47" s="3" t="s">
        <v>837</v>
      </c>
      <c r="AB47" s="1226">
        <f>Application!AO633-MAX(IF('Sources and Uses Budget'!B15="",0,'Sources and Uses Budget'!B15),IF(Application!AG387="",0,Application!AG387))</f>
        <v>16622025.779999999</v>
      </c>
      <c r="AC47" s="1227"/>
      <c r="AD47" s="1227"/>
      <c r="AE47" s="1227"/>
      <c r="AF47" s="1228"/>
    </row>
    <row r="48" spans="1:44" ht="12.9" customHeight="1">
      <c r="D48" s="3" t="s">
        <v>378</v>
      </c>
      <c r="AB48" s="1226">
        <f>AB46-AB47</f>
        <v>26666656.739999995</v>
      </c>
      <c r="AC48" s="1227"/>
      <c r="AD48" s="1227"/>
      <c r="AE48" s="1227"/>
      <c r="AF48" s="1228"/>
    </row>
    <row r="49" spans="1:40" ht="12.9" customHeight="1">
      <c r="D49" s="3" t="s">
        <v>872</v>
      </c>
      <c r="AA49" s="34"/>
      <c r="AB49" s="1600">
        <v>0.8</v>
      </c>
      <c r="AC49" s="1601"/>
      <c r="AD49" s="1601"/>
      <c r="AE49" s="1601"/>
      <c r="AF49" s="1602"/>
    </row>
    <row r="50" spans="1:40" s="323" customFormat="1" ht="12.9" customHeight="1">
      <c r="A50"/>
      <c r="B50"/>
      <c r="C50"/>
      <c r="D50"/>
      <c r="E50" s="1607" t="s">
        <v>1951</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33333321</v>
      </c>
      <c r="AC53" s="1227"/>
      <c r="AD53" s="1227"/>
      <c r="AE53" s="1227"/>
      <c r="AF53" s="1228"/>
    </row>
    <row r="54" spans="1:40" ht="12.9" customHeight="1">
      <c r="D54" s="3" t="s">
        <v>561</v>
      </c>
      <c r="AB54" s="1226">
        <f>(AB53/10)</f>
        <v>3333332.1</v>
      </c>
      <c r="AC54" s="1227"/>
      <c r="AD54" s="1227"/>
      <c r="AE54" s="1227"/>
      <c r="AF54" s="1228"/>
    </row>
    <row r="55" spans="1:40" ht="12.9" customHeight="1">
      <c r="D55" s="3" t="s">
        <v>341</v>
      </c>
      <c r="AB55" s="1226">
        <f>(IF((Y41&lt;AB54),Y41,AB54))</f>
        <v>2500000</v>
      </c>
      <c r="AC55" s="1227"/>
      <c r="AD55" s="1227"/>
      <c r="AE55" s="1227"/>
      <c r="AF55" s="1228"/>
    </row>
    <row r="56" spans="1:40" ht="12.9" customHeight="1">
      <c r="D56" s="3" t="s">
        <v>107</v>
      </c>
      <c r="AB56" s="1226">
        <f>ROUND((10*AB55*AB49),0)</f>
        <v>20000000</v>
      </c>
      <c r="AC56" s="1227"/>
      <c r="AD56" s="1227"/>
      <c r="AE56" s="1227"/>
      <c r="AF56" s="1228"/>
    </row>
    <row r="57" spans="1:40" ht="12.9" customHeight="1">
      <c r="D57" s="3"/>
      <c r="AB57" s="276"/>
      <c r="AC57" s="276"/>
      <c r="AD57" s="276"/>
      <c r="AE57" s="276"/>
      <c r="AF57" s="276"/>
    </row>
    <row r="58" spans="1:40" ht="12.9" customHeight="1">
      <c r="D58" s="3" t="s">
        <v>106</v>
      </c>
      <c r="AB58" s="1297">
        <f>AB48-AB56</f>
        <v>6666656.7399999946</v>
      </c>
      <c r="AC58" s="1297"/>
      <c r="AD58" s="1297"/>
      <c r="AE58" s="1297"/>
      <c r="AF58" s="129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27788848.879999995</v>
      </c>
      <c r="Z63" s="1603"/>
      <c r="AA63" s="1603"/>
      <c r="AB63" s="1603"/>
      <c r="AC63" s="1603"/>
      <c r="AD63" s="1293">
        <f>IF(AND(T25=1.3,Application!D214="At-Risk"),AI28,IF(Application!D214&lt;&gt;"At-Risk",0,AD28))</f>
        <v>0</v>
      </c>
      <c r="AE63" s="1603"/>
      <c r="AF63" s="1603"/>
      <c r="AG63" s="1603"/>
      <c r="AH63" s="1603"/>
    </row>
    <row r="64" spans="1:40" ht="12.9"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f>IF(Application!W198="Yes",95%, 30%)</f>
        <v>0.3</v>
      </c>
      <c r="Z66" s="1599"/>
      <c r="AA66" s="1599"/>
      <c r="AB66" s="1599"/>
      <c r="AC66" s="1599"/>
      <c r="AD66" s="1599">
        <f>IF(Application!W198="Yes",95%, 13%)</f>
        <v>0.13</v>
      </c>
      <c r="AE66" s="1599"/>
      <c r="AF66" s="1599"/>
      <c r="AG66" s="1599"/>
      <c r="AH66" s="1599"/>
    </row>
    <row r="67" spans="1:34" ht="12.9" customHeight="1">
      <c r="C67" s="3"/>
      <c r="D67" s="3" t="s">
        <v>941</v>
      </c>
      <c r="Y67" s="1293">
        <f>ROUND(Y63*Y66,0)</f>
        <v>8336655</v>
      </c>
      <c r="Z67" s="1603"/>
      <c r="AA67" s="1603"/>
      <c r="AB67" s="1603"/>
      <c r="AC67" s="1603"/>
      <c r="AD67" s="1293" t="str">
        <f>IF(OR(Application!D211="At-Risk",Application!D211="At-Risk/Located in Rural Census Tract",Application!D214="At-Risk"),ROUND(AD63*AD66,0),"$0")</f>
        <v>$0</v>
      </c>
      <c r="AE67" s="1293"/>
      <c r="AF67" s="1293"/>
      <c r="AG67" s="1293"/>
      <c r="AH67" s="1293"/>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00">
        <v>0.8</v>
      </c>
      <c r="AC70" s="1601"/>
      <c r="AD70" s="1601"/>
      <c r="AE70" s="1601"/>
      <c r="AF70" s="1602"/>
    </row>
    <row r="71" spans="1:34" ht="12.9" customHeight="1">
      <c r="A71" s="3"/>
      <c r="C71" s="3"/>
      <c r="D71" s="3"/>
      <c r="E71" s="1604" t="s">
        <v>2248</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4">
        <f>ROUND(IF(ISERROR((AB58/AB70)),0,(AB58/AB70)),0)</f>
        <v>8333321</v>
      </c>
      <c r="AC75" s="1274"/>
      <c r="AD75" s="1274"/>
      <c r="AE75" s="1274"/>
      <c r="AF75" s="1274"/>
    </row>
    <row r="76" spans="1:34" ht="12.9" customHeight="1">
      <c r="C76" s="3"/>
      <c r="D76" s="3" t="s">
        <v>105</v>
      </c>
      <c r="AB76" s="1175">
        <f>IF((Y67+AD67&lt;AB75),Y67+AD67,AB75)</f>
        <v>8333321</v>
      </c>
      <c r="AC76" s="1176"/>
      <c r="AD76" s="1176"/>
      <c r="AE76" s="1176"/>
      <c r="AF76" s="1177"/>
    </row>
    <row r="77" spans="1:34" ht="12.9" customHeight="1">
      <c r="C77" s="3"/>
      <c r="D77" s="3" t="s">
        <v>942</v>
      </c>
      <c r="AB77" s="1598">
        <f>AB76*AB70</f>
        <v>6666656.8000000007</v>
      </c>
      <c r="AC77" s="1598"/>
      <c r="AD77" s="1598"/>
      <c r="AE77" s="1598"/>
      <c r="AF77" s="1598"/>
    </row>
    <row r="78" spans="1:34" ht="12.9" customHeight="1">
      <c r="C78" s="3"/>
      <c r="D78" s="3"/>
      <c r="AB78" s="598"/>
      <c r="AC78" s="598"/>
      <c r="AD78" s="598"/>
      <c r="AE78" s="598"/>
      <c r="AF78" s="598"/>
    </row>
    <row r="79" spans="1:34" ht="12.9" customHeight="1">
      <c r="D79" s="3" t="s">
        <v>106</v>
      </c>
      <c r="AB79" s="1297">
        <f>AB48-(AB56+AB77)</f>
        <v>-6.0000006109476089E-2</v>
      </c>
      <c r="AC79" s="1297"/>
      <c r="AD79" s="1297"/>
      <c r="AE79" s="1297"/>
      <c r="AF79" s="1297"/>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N19" sqref="N19"/>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1" t="s">
        <v>1823</v>
      </c>
      <c r="B1" s="1642"/>
      <c r="C1" s="1642"/>
      <c r="D1" s="1642"/>
      <c r="E1" s="1642"/>
      <c r="F1" s="1642"/>
      <c r="G1" s="1642"/>
      <c r="H1" s="1642"/>
      <c r="I1" s="1642"/>
      <c r="J1" s="1643"/>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2700000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2700000</v>
      </c>
      <c r="C8" s="584">
        <f>SUM(C4:C7)</f>
        <v>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2700000</v>
      </c>
      <c r="C12" s="584">
        <f>SUM(C8+C11)</f>
        <v>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4989702</v>
      </c>
      <c r="C28" s="585"/>
      <c r="D28" s="585"/>
      <c r="E28" s="584">
        <f>'Sources and Uses Budget'!S29</f>
        <v>4989702</v>
      </c>
      <c r="F28" s="585"/>
      <c r="G28" s="585"/>
      <c r="H28" s="584">
        <f>'Sources and Uses Budget'!T29</f>
        <v>0</v>
      </c>
      <c r="I28" s="585"/>
      <c r="J28" s="585"/>
      <c r="K28" s="579"/>
    </row>
    <row r="29" spans="1:11" s="253" customFormat="1" ht="11.4">
      <c r="A29" s="239" t="s">
        <v>911</v>
      </c>
      <c r="B29" s="584">
        <f>'Sources and Uses Budget'!C30</f>
        <v>18000000</v>
      </c>
      <c r="C29" s="585"/>
      <c r="D29" s="585"/>
      <c r="E29" s="584">
        <f>'Sources and Uses Budget'!S30</f>
        <v>18000000</v>
      </c>
      <c r="F29" s="585"/>
      <c r="G29" s="585"/>
      <c r="H29" s="584">
        <f>'Sources and Uses Budget'!T30</f>
        <v>0</v>
      </c>
      <c r="I29" s="585"/>
      <c r="J29" s="585"/>
      <c r="K29" s="579"/>
    </row>
    <row r="30" spans="1:11" s="253" customFormat="1" ht="11.4">
      <c r="A30" s="239" t="s">
        <v>912</v>
      </c>
      <c r="B30" s="584">
        <f>'Sources and Uses Budget'!C31</f>
        <v>1509925.58</v>
      </c>
      <c r="C30" s="585"/>
      <c r="D30" s="585"/>
      <c r="E30" s="584">
        <f>'Sources and Uses Budget'!S31</f>
        <v>1509925.58</v>
      </c>
      <c r="F30" s="585"/>
      <c r="G30" s="585"/>
      <c r="H30" s="584">
        <f>'Sources and Uses Budget'!T31</f>
        <v>0</v>
      </c>
      <c r="I30" s="585"/>
      <c r="J30" s="585"/>
      <c r="K30" s="579"/>
    </row>
    <row r="31" spans="1:11" s="253" customFormat="1" ht="11.4">
      <c r="A31" s="239" t="s">
        <v>913</v>
      </c>
      <c r="B31" s="584">
        <f>'Sources and Uses Budget'!C32</f>
        <v>1183583.6160000002</v>
      </c>
      <c r="C31" s="585"/>
      <c r="D31" s="585"/>
      <c r="E31" s="584">
        <f>'Sources and Uses Budget'!S32</f>
        <v>1183583.6160000002</v>
      </c>
      <c r="F31" s="585"/>
      <c r="G31" s="585"/>
      <c r="H31" s="584">
        <f>'Sources and Uses Budget'!T32</f>
        <v>0</v>
      </c>
      <c r="I31" s="585"/>
      <c r="J31" s="585"/>
      <c r="K31" s="579"/>
    </row>
    <row r="32" spans="1:11" s="253" customFormat="1" ht="11.4">
      <c r="A32" s="239" t="s">
        <v>914</v>
      </c>
      <c r="B32" s="584">
        <f>'Sources and Uses Budget'!C33</f>
        <v>295895.90400000004</v>
      </c>
      <c r="C32" s="585"/>
      <c r="D32" s="585"/>
      <c r="E32" s="584">
        <f>'Sources and Uses Budget'!S33</f>
        <v>295895.90400000004</v>
      </c>
      <c r="F32" s="585"/>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567582.14</v>
      </c>
      <c r="C34" s="585"/>
      <c r="D34" s="585"/>
      <c r="E34" s="584">
        <f>'Sources and Uses Budget'!S35</f>
        <v>567582.14</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250000</v>
      </c>
      <c r="C35" s="585"/>
      <c r="D35" s="585"/>
      <c r="E35" s="584">
        <f>'Sources and Uses Budget'!S36</f>
        <v>250000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26796689.239999998</v>
      </c>
      <c r="C37" s="584">
        <f>SUM(C28:C36)</f>
        <v>0</v>
      </c>
      <c r="D37" s="584">
        <f>SUM(D28:D36)</f>
        <v>0</v>
      </c>
      <c r="E37" s="584">
        <f>'Sources and Uses Budget'!S38</f>
        <v>26796689.239999998</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651345</v>
      </c>
      <c r="C39" s="585"/>
      <c r="D39" s="585"/>
      <c r="E39" s="584">
        <f>'Sources and Uses Budget'!S40</f>
        <v>651345</v>
      </c>
      <c r="F39" s="585"/>
      <c r="G39" s="585"/>
      <c r="H39" s="584">
        <f>'Sources and Uses Budget'!T40</f>
        <v>0</v>
      </c>
      <c r="I39" s="585"/>
      <c r="J39" s="585"/>
      <c r="K39" s="579"/>
    </row>
    <row r="40" spans="1:11" s="253" customFormat="1" ht="11.4">
      <c r="A40" s="239" t="s">
        <v>922</v>
      </c>
      <c r="B40" s="584">
        <f>'Sources and Uses Budget'!C41</f>
        <v>651345</v>
      </c>
      <c r="C40" s="585"/>
      <c r="D40" s="585"/>
      <c r="E40" s="584">
        <f>'Sources and Uses Budget'!S41</f>
        <v>651345</v>
      </c>
      <c r="F40" s="585"/>
      <c r="G40" s="585"/>
      <c r="H40" s="584">
        <f>'Sources and Uses Budget'!T41</f>
        <v>0</v>
      </c>
      <c r="I40" s="585"/>
      <c r="J40" s="585"/>
      <c r="K40" s="579"/>
    </row>
    <row r="41" spans="1:11" s="253" customFormat="1">
      <c r="A41" s="243" t="s">
        <v>923</v>
      </c>
      <c r="B41" s="584">
        <f>'Sources and Uses Budget'!C42</f>
        <v>1302690</v>
      </c>
      <c r="C41" s="584">
        <f>SUM(C38:C40)</f>
        <v>0</v>
      </c>
      <c r="D41" s="584">
        <f>SUM(D38:D40)</f>
        <v>0</v>
      </c>
      <c r="E41" s="584">
        <f>'Sources and Uses Budget'!S42</f>
        <v>1302690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0</v>
      </c>
      <c r="C42" s="585"/>
      <c r="D42" s="585"/>
      <c r="E42" s="584">
        <f>'Sources and Uses Budget'!S43</f>
        <v>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3887398.11</v>
      </c>
      <c r="C44" s="585"/>
      <c r="D44" s="585"/>
      <c r="E44" s="584">
        <f>'Sources and Uses Budget'!S45</f>
        <v>2803148</v>
      </c>
      <c r="F44" s="585"/>
      <c r="G44" s="585"/>
      <c r="H44" s="584">
        <f>'Sources and Uses Budget'!T45</f>
        <v>0</v>
      </c>
      <c r="I44" s="585"/>
      <c r="J44" s="585"/>
      <c r="K44" s="579"/>
    </row>
    <row r="45" spans="1:11" s="253" customFormat="1" ht="11.4">
      <c r="A45" s="239" t="s">
        <v>927</v>
      </c>
      <c r="B45" s="584">
        <f>'Sources and Uses Budget'!C46</f>
        <v>421540.16</v>
      </c>
      <c r="C45" s="585"/>
      <c r="D45" s="585"/>
      <c r="E45" s="584">
        <f>'Sources and Uses Budget'!S46</f>
        <v>303967</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929</v>
      </c>
      <c r="B47" s="584">
        <f>'Sources and Uses Budget'!C48</f>
        <v>283791.07</v>
      </c>
      <c r="C47" s="585"/>
      <c r="D47" s="585"/>
      <c r="E47" s="584">
        <f>'Sources and Uses Budget'!S48</f>
        <v>283791</v>
      </c>
      <c r="F47" s="585"/>
      <c r="G47" s="585"/>
      <c r="H47" s="584">
        <f>'Sources and Uses Budget'!T48</f>
        <v>0</v>
      </c>
      <c r="I47" s="585"/>
      <c r="J47" s="585"/>
      <c r="K47" s="579"/>
    </row>
    <row r="48" spans="1:11" s="253" customFormat="1" ht="11.4">
      <c r="A48" s="239" t="s">
        <v>932</v>
      </c>
      <c r="B48" s="584">
        <f>'Sources and Uses Budget'!C49</f>
        <v>60000</v>
      </c>
      <c r="C48" s="585"/>
      <c r="D48" s="585"/>
      <c r="E48" s="584">
        <f>'Sources and Uses Budget'!S49</f>
        <v>25000</v>
      </c>
      <c r="F48" s="585"/>
      <c r="G48" s="585"/>
      <c r="H48" s="584">
        <f>'Sources and Uses Budget'!T49</f>
        <v>0</v>
      </c>
      <c r="I48" s="585"/>
      <c r="J48" s="585"/>
      <c r="K48" s="579"/>
    </row>
    <row r="49" spans="1:11" s="253" customFormat="1" ht="11.4">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ht="11.4">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ht="11.4">
      <c r="A51" s="239" t="str">
        <f>'Sources and Uses Budget'!$A52</f>
        <v>Bond issuance</v>
      </c>
      <c r="B51" s="584">
        <f>'Sources and Uses Budget'!C52</f>
        <v>50000</v>
      </c>
      <c r="C51" s="585"/>
      <c r="D51" s="585"/>
      <c r="E51" s="584">
        <f>'Sources and Uses Budget'!S52</f>
        <v>50000</v>
      </c>
      <c r="F51" s="585"/>
      <c r="G51" s="585"/>
      <c r="H51" s="584">
        <f>'Sources and Uses Budget'!T52</f>
        <v>0</v>
      </c>
      <c r="I51" s="585"/>
      <c r="J51" s="585"/>
      <c r="K51" s="579"/>
    </row>
    <row r="52" spans="1:11" s="577" customFormat="1">
      <c r="A52" s="243" t="s">
        <v>933</v>
      </c>
      <c r="B52" s="584">
        <f>'Sources and Uses Budget'!C53</f>
        <v>4702729.34</v>
      </c>
      <c r="C52" s="587">
        <f>SUM(C44:C51)</f>
        <v>0</v>
      </c>
      <c r="D52" s="587">
        <f>SUM(D44:D51)</f>
        <v>0</v>
      </c>
      <c r="E52" s="584">
        <f>'Sources and Uses Budget'!S53</f>
        <v>3465906</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46758.41</v>
      </c>
      <c r="C54" s="585"/>
      <c r="D54" s="585"/>
      <c r="E54" s="586"/>
      <c r="F54" s="586"/>
      <c r="G54" s="586"/>
      <c r="H54" s="586"/>
      <c r="I54" s="586"/>
      <c r="J54" s="586"/>
      <c r="K54" s="579"/>
    </row>
    <row r="55" spans="1:11" s="253" customFormat="1" ht="12" customHeight="1">
      <c r="A55" s="239" t="s">
        <v>928</v>
      </c>
      <c r="B55" s="584">
        <f>'Sources and Uses Budget'!C56</f>
        <v>500</v>
      </c>
      <c r="C55" s="585"/>
      <c r="D55" s="585"/>
      <c r="E55" s="586"/>
      <c r="F55" s="586"/>
      <c r="G55" s="586"/>
      <c r="H55" s="586"/>
      <c r="I55" s="586"/>
      <c r="J55" s="586"/>
      <c r="K55" s="579"/>
    </row>
    <row r="56" spans="1:11" s="253" customFormat="1" ht="11.4">
      <c r="A56" s="239" t="s">
        <v>932</v>
      </c>
      <c r="B56" s="584">
        <f>'Sources and Uses Budget'!C57</f>
        <v>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Bridge Loan Interest/Legal</v>
      </c>
      <c r="B59" s="584">
        <f>'Sources and Uses Budget'!C60</f>
        <v>88000</v>
      </c>
      <c r="C59" s="585"/>
      <c r="D59" s="585"/>
      <c r="E59" s="586"/>
      <c r="F59" s="586"/>
      <c r="G59" s="586"/>
      <c r="H59" s="586"/>
      <c r="I59" s="586"/>
      <c r="J59" s="586"/>
      <c r="K59" s="579"/>
    </row>
    <row r="60" spans="1:11" s="253" customFormat="1" ht="13.95" customHeight="1">
      <c r="A60" s="243" t="s">
        <v>500</v>
      </c>
      <c r="B60" s="584">
        <f>'Sources and Uses Budget'!C61</f>
        <v>135258.41</v>
      </c>
      <c r="C60" s="584">
        <f>SUM(C54:C59)</f>
        <v>0</v>
      </c>
      <c r="D60" s="584">
        <f>SUM(D54:D59)</f>
        <v>0</v>
      </c>
      <c r="E60" s="586"/>
      <c r="F60" s="586"/>
      <c r="G60" s="586"/>
      <c r="H60" s="586"/>
      <c r="I60" s="586"/>
      <c r="J60" s="586"/>
      <c r="K60" s="579"/>
    </row>
    <row r="61" spans="1:11" s="253" customFormat="1" ht="11.4">
      <c r="A61" s="249" t="s">
        <v>501</v>
      </c>
      <c r="B61" s="584">
        <f>'Sources and Uses Budget'!C62</f>
        <v>35637366.989999995</v>
      </c>
      <c r="C61" s="584">
        <f>SUM(C8+C11+C13+C14+C15+C25+C26+C37+C41+C42+C52+C60)</f>
        <v>0</v>
      </c>
      <c r="D61" s="584">
        <f>SUM(D8+D11+D13+D14+D15+D25+D26+D37+D41+D42+D52+D60)</f>
        <v>0</v>
      </c>
      <c r="E61" s="584">
        <f>'Sources and Uses Budget'!S62</f>
        <v>31565285.239999998</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185000</v>
      </c>
      <c r="C63" s="585"/>
      <c r="D63" s="585"/>
      <c r="E63" s="584">
        <f>'Sources and Uses Budget'!S64</f>
        <v>70000</v>
      </c>
      <c r="F63" s="585"/>
      <c r="G63" s="585"/>
      <c r="H63" s="584">
        <f>'Sources and Uses Budget'!T64</f>
        <v>0</v>
      </c>
      <c r="I63" s="585"/>
      <c r="J63" s="585"/>
      <c r="K63" s="579"/>
    </row>
    <row r="64" spans="1:11" s="253" customFormat="1" ht="22.8">
      <c r="A64" s="239" t="s">
        <v>1954</v>
      </c>
      <c r="B64" s="584">
        <f>'Sources and Uses Budget'!C65</f>
        <v>250000</v>
      </c>
      <c r="C64" s="585"/>
      <c r="D64" s="585"/>
      <c r="E64" s="584">
        <f>'Sources and Uses Budget'!S65</f>
        <v>250000</v>
      </c>
      <c r="F64" s="585"/>
      <c r="G64" s="585"/>
      <c r="H64" s="584">
        <f>'Sources and Uses Budget'!T65</f>
        <v>0</v>
      </c>
      <c r="I64" s="585"/>
      <c r="J64" s="585"/>
      <c r="K64" s="579"/>
    </row>
    <row r="65" spans="1:11" s="253" customFormat="1" ht="22.8">
      <c r="A65" s="239" t="s">
        <v>1955</v>
      </c>
      <c r="B65" s="584">
        <f>'Sources and Uses Budget'!C66</f>
        <v>352440</v>
      </c>
      <c r="C65" s="585"/>
      <c r="D65" s="585"/>
      <c r="E65" s="584">
        <f>'Sources and Uses Budget'!S66</f>
        <v>352440</v>
      </c>
      <c r="F65" s="585"/>
      <c r="G65" s="585"/>
      <c r="H65" s="584">
        <f>'Sources and Uses Budget'!T66</f>
        <v>0</v>
      </c>
      <c r="I65" s="585"/>
      <c r="J65" s="585"/>
      <c r="K65" s="579"/>
    </row>
    <row r="66" spans="1:11" s="253" customFormat="1" ht="11.4">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f>'Sources and Uses Budget'!$A68</f>
        <v>0</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1957</v>
      </c>
      <c r="B68" s="584">
        <f>'Sources and Uses Budget'!C69</f>
        <v>787440</v>
      </c>
      <c r="C68" s="584">
        <f>SUM(C62:C67)</f>
        <v>0</v>
      </c>
      <c r="D68" s="584">
        <f>SUM(D62:D67)</f>
        <v>0</v>
      </c>
      <c r="E68" s="584">
        <f>'Sources and Uses Budget'!S69</f>
        <v>672440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225376.89</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225376.89</v>
      </c>
      <c r="C75" s="584">
        <f>SUM(C70:C74)</f>
        <v>0</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2554119.64</v>
      </c>
      <c r="C77" s="585"/>
      <c r="D77" s="585"/>
      <c r="E77" s="584">
        <f>'Sources and Uses Budget'!S78</f>
        <v>2554119.64</v>
      </c>
      <c r="F77" s="585"/>
      <c r="G77" s="585"/>
      <c r="H77" s="584">
        <f>'Sources and Uses Budget'!T78</f>
        <v>0</v>
      </c>
      <c r="I77" s="585"/>
      <c r="J77" s="585"/>
      <c r="K77" s="579"/>
    </row>
    <row r="78" spans="1:11" s="253" customFormat="1" ht="11.4">
      <c r="A78" s="239" t="s">
        <v>538</v>
      </c>
      <c r="B78" s="584">
        <f>'Sources and Uses Budget'!C79</f>
        <v>580000</v>
      </c>
      <c r="C78" s="585"/>
      <c r="D78" s="585"/>
      <c r="E78" s="584">
        <f>'Sources and Uses Budget'!S79</f>
        <v>200000</v>
      </c>
      <c r="F78" s="585"/>
      <c r="G78" s="585"/>
      <c r="H78" s="584">
        <f>'Sources and Uses Budget'!T79</f>
        <v>0</v>
      </c>
      <c r="I78" s="585"/>
      <c r="J78" s="585"/>
      <c r="K78" s="579"/>
    </row>
    <row r="79" spans="1:11" s="253" customFormat="1">
      <c r="A79" s="243" t="s">
        <v>1742</v>
      </c>
      <c r="B79" s="584">
        <f>'Sources and Uses Budget'!C80</f>
        <v>3134119.64</v>
      </c>
      <c r="C79" s="667">
        <f>SUM(C77:C78)</f>
        <v>0</v>
      </c>
      <c r="D79" s="667">
        <f>SUM(D77:D78)</f>
        <v>0</v>
      </c>
      <c r="E79" s="584">
        <f>'Sources and Uses Budget'!S80</f>
        <v>2754119.64</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152200</v>
      </c>
      <c r="C81" s="585"/>
      <c r="D81" s="585"/>
      <c r="E81" s="586"/>
      <c r="F81" s="586"/>
      <c r="G81" s="586"/>
      <c r="H81" s="586"/>
      <c r="I81" s="586"/>
      <c r="J81" s="586"/>
      <c r="K81" s="579"/>
    </row>
    <row r="82" spans="1:11" s="253" customFormat="1" ht="11.4">
      <c r="A82" s="239" t="s">
        <v>516</v>
      </c>
      <c r="B82" s="584">
        <f>'Sources and Uses Budget'!C83</f>
        <v>0</v>
      </c>
      <c r="C82" s="585"/>
      <c r="D82" s="585"/>
      <c r="E82" s="584">
        <f>'Sources and Uses Budget'!S83</f>
        <v>0</v>
      </c>
      <c r="F82" s="585"/>
      <c r="G82" s="585"/>
      <c r="H82" s="584">
        <f>'Sources and Uses Budget'!T83</f>
        <v>0</v>
      </c>
      <c r="I82" s="585"/>
      <c r="J82" s="585"/>
      <c r="K82" s="579"/>
    </row>
    <row r="83" spans="1:11" s="253" customFormat="1" ht="11.4">
      <c r="A83" s="239" t="s">
        <v>517</v>
      </c>
      <c r="B83" s="584">
        <f>'Sources and Uses Budget'!C84</f>
        <v>567004</v>
      </c>
      <c r="C83" s="585"/>
      <c r="D83" s="585"/>
      <c r="E83" s="584">
        <f>'Sources and Uses Budget'!S84</f>
        <v>567004</v>
      </c>
      <c r="F83" s="585"/>
      <c r="G83" s="585"/>
      <c r="H83" s="584">
        <f>'Sources and Uses Budget'!T84</f>
        <v>0</v>
      </c>
      <c r="I83" s="585"/>
      <c r="J83" s="585"/>
      <c r="K83" s="579"/>
    </row>
    <row r="84" spans="1:11" s="253" customFormat="1" ht="11.4">
      <c r="A84" s="239" t="s">
        <v>518</v>
      </c>
      <c r="B84" s="584">
        <f>'Sources and Uses Budget'!C85</f>
        <v>0</v>
      </c>
      <c r="C84" s="585"/>
      <c r="D84" s="585"/>
      <c r="E84" s="584">
        <f>'Sources and Uses Budget'!S85</f>
        <v>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80175</v>
      </c>
      <c r="C86" s="585"/>
      <c r="D86" s="585"/>
      <c r="E86" s="586"/>
      <c r="F86" s="586"/>
      <c r="G86" s="586"/>
      <c r="H86" s="586"/>
      <c r="I86" s="586"/>
      <c r="J86" s="586"/>
      <c r="K86" s="579"/>
    </row>
    <row r="87" spans="1:11" s="253" customFormat="1" ht="11.4">
      <c r="A87" s="239" t="s">
        <v>521</v>
      </c>
      <c r="B87" s="584">
        <f>'Sources and Uses Budget'!C88</f>
        <v>100000</v>
      </c>
      <c r="C87" s="585"/>
      <c r="D87" s="585"/>
      <c r="E87" s="584">
        <f>'Sources and Uses Budget'!S88</f>
        <v>100000</v>
      </c>
      <c r="F87" s="585"/>
      <c r="G87" s="585"/>
      <c r="H87" s="584">
        <f>'Sources and Uses Budget'!T88</f>
        <v>0</v>
      </c>
      <c r="I87" s="585"/>
      <c r="J87" s="585"/>
      <c r="K87" s="579"/>
    </row>
    <row r="88" spans="1:11" s="253" customFormat="1" ht="11.4">
      <c r="A88" s="239" t="s">
        <v>522</v>
      </c>
      <c r="B88" s="584">
        <f>'Sources and Uses Budget'!C89</f>
        <v>15000</v>
      </c>
      <c r="C88" s="585"/>
      <c r="D88" s="585"/>
      <c r="E88" s="584">
        <f>'Sources and Uses Budget'!S89</f>
        <v>15000</v>
      </c>
      <c r="F88" s="585"/>
      <c r="G88" s="585"/>
      <c r="H88" s="584">
        <f>'Sources and Uses Budget'!T89</f>
        <v>0</v>
      </c>
      <c r="I88" s="585"/>
      <c r="J88" s="585"/>
      <c r="K88" s="579"/>
    </row>
    <row r="89" spans="1:11" s="253" customFormat="1" ht="11.4">
      <c r="A89" s="239" t="s">
        <v>1315</v>
      </c>
      <c r="B89" s="584">
        <f>'Sources and Uses Budget'!C90</f>
        <v>75000</v>
      </c>
      <c r="C89" s="585"/>
      <c r="D89" s="585"/>
      <c r="E89" s="584">
        <f>'Sources and Uses Budget'!S90</f>
        <v>55000</v>
      </c>
      <c r="F89" s="585"/>
      <c r="G89" s="585"/>
      <c r="H89" s="584">
        <f>'Sources and Uses Budget'!T90</f>
        <v>0</v>
      </c>
      <c r="I89" s="585"/>
      <c r="J89" s="585"/>
      <c r="K89" s="579"/>
    </row>
    <row r="90" spans="1:11" s="253" customFormat="1" ht="11.4">
      <c r="A90" s="239" t="s">
        <v>1740</v>
      </c>
      <c r="B90" s="584">
        <f>'Sources and Uses Budget'!C91</f>
        <v>15000</v>
      </c>
      <c r="C90" s="585"/>
      <c r="D90" s="585"/>
      <c r="E90" s="584">
        <f>'Sources and Uses Budget'!S91</f>
        <v>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1004379</v>
      </c>
      <c r="C94" s="584">
        <f>SUM(C81:C93)</f>
        <v>0</v>
      </c>
      <c r="D94" s="584">
        <f>SUM(D81:D93)</f>
        <v>0</v>
      </c>
      <c r="E94" s="584">
        <f>'Sources and Uses Budget'!S95</f>
        <v>737004</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40788682.519999996</v>
      </c>
      <c r="C95" s="584">
        <f>SUM(C61+C68+C75+C79+C94)</f>
        <v>0</v>
      </c>
      <c r="D95" s="584">
        <f>SUM(D61+D68+D75+D79+D94)</f>
        <v>0</v>
      </c>
      <c r="E95" s="584">
        <f>'Sources and Uses Budget'!S96</f>
        <v>35728848.879999995</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43288682.519999996</v>
      </c>
      <c r="C103" s="587">
        <f>SUM(C95+C102)</f>
        <v>0</v>
      </c>
      <c r="D103" s="587">
        <f>SUM(D95+D102)</f>
        <v>0</v>
      </c>
      <c r="E103" s="584">
        <f>'Sources and Uses Budget'!S104</f>
        <v>38228848.879999995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38228848.879999995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abSelected="1" topLeftCell="A166" workbookViewId="0">
      <selection activeCell="H204" sqref="H204:I204"/>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0" t="s">
        <v>846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row>
    <row r="2" spans="1:43" s="5" customFormat="1" ht="12.7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2" t="s">
        <v>364</v>
      </c>
      <c r="AF4" s="1682"/>
      <c r="AG4" s="1682"/>
      <c r="AH4" s="1682"/>
      <c r="AI4" s="1682"/>
      <c r="AJ4" s="1682"/>
      <c r="AK4" s="1682"/>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0" t="s">
        <v>854</v>
      </c>
      <c r="AG6" s="1690"/>
      <c r="AH6" s="1690"/>
      <c r="AI6" s="1690"/>
      <c r="AJ6" s="1690"/>
      <c r="AK6" s="1690"/>
      <c r="AL6" s="169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5" t="s">
        <v>2321</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5" t="s">
        <v>1243</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1" t="s">
        <v>124</v>
      </c>
      <c r="AC13" s="180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5" t="s">
        <v>1119</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4" t="s">
        <v>2207</v>
      </c>
      <c r="C20" s="1644"/>
      <c r="D20" s="1644"/>
      <c r="E20" s="1644"/>
      <c r="F20" s="1644"/>
      <c r="G20" s="1644"/>
      <c r="H20" s="1644"/>
      <c r="I20" s="1644"/>
      <c r="J20" s="1644"/>
      <c r="K20" s="1644"/>
      <c r="L20" s="1644"/>
      <c r="M20" s="1644"/>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c r="AL20" s="103"/>
      <c r="AM20" s="27"/>
      <c r="AN20" s="670"/>
    </row>
    <row r="21" spans="1:42" s="5" customFormat="1" ht="12.75" customHeight="1">
      <c r="A21" s="27"/>
      <c r="B21" s="1644"/>
      <c r="C21" s="1644"/>
      <c r="D21" s="1644"/>
      <c r="E21" s="1644"/>
      <c r="F21" s="1644"/>
      <c r="G21" s="1644"/>
      <c r="H21" s="1644"/>
      <c r="I21" s="1644"/>
      <c r="J21" s="1644"/>
      <c r="K21" s="1644"/>
      <c r="L21" s="1644"/>
      <c r="M21" s="1644"/>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c r="AL21" s="103"/>
      <c r="AM21" s="27"/>
      <c r="AN21" s="670"/>
      <c r="AP21" s="340"/>
    </row>
    <row r="22" spans="1:42" s="5" customFormat="1" ht="12.75" customHeight="1">
      <c r="A22" s="27"/>
      <c r="B22" s="1644"/>
      <c r="C22" s="1644"/>
      <c r="D22" s="1644"/>
      <c r="E22" s="1644"/>
      <c r="F22" s="1644"/>
      <c r="G22" s="1644"/>
      <c r="H22" s="1644"/>
      <c r="I22" s="1644"/>
      <c r="J22" s="1644"/>
      <c r="K22" s="1644"/>
      <c r="L22" s="1644"/>
      <c r="M22" s="1644"/>
      <c r="N22" s="1644"/>
      <c r="O22" s="1644"/>
      <c r="P22" s="1644"/>
      <c r="Q22" s="1644"/>
      <c r="R22" s="1644"/>
      <c r="S22" s="1644"/>
      <c r="T22" s="1644"/>
      <c r="U22" s="1644"/>
      <c r="V22" s="1644"/>
      <c r="W22" s="1644"/>
      <c r="X22" s="1644"/>
      <c r="Y22" s="1644"/>
      <c r="Z22" s="1644"/>
      <c r="AA22" s="1644"/>
      <c r="AB22" s="1644"/>
      <c r="AC22" s="1644"/>
      <c r="AD22" s="1644"/>
      <c r="AE22" s="1644"/>
      <c r="AF22" s="1644"/>
      <c r="AG22" s="1644"/>
      <c r="AH22" s="1644"/>
      <c r="AI22" s="1644"/>
      <c r="AJ22" s="1644"/>
      <c r="AK22" s="1644"/>
      <c r="AL22" s="103"/>
      <c r="AM22" s="27"/>
      <c r="AN22" s="670"/>
    </row>
    <row r="23" spans="1:42" s="4" customFormat="1" ht="12.75" customHeight="1">
      <c r="A23" s="27"/>
      <c r="B23" s="1644"/>
      <c r="C23" s="1644"/>
      <c r="D23" s="1644"/>
      <c r="E23" s="1644"/>
      <c r="F23" s="1644"/>
      <c r="G23" s="1644"/>
      <c r="H23" s="1644"/>
      <c r="I23" s="1644"/>
      <c r="J23" s="1644"/>
      <c r="K23" s="1644"/>
      <c r="L23" s="1644"/>
      <c r="M23" s="1644"/>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c r="AL23" s="103"/>
      <c r="AM23" s="27"/>
      <c r="AN23" s="281"/>
    </row>
    <row r="24" spans="1:42" s="4" customFormat="1" ht="12.75" customHeight="1">
      <c r="A24" s="27"/>
      <c r="B24" s="1644"/>
      <c r="C24" s="1644"/>
      <c r="D24" s="1644"/>
      <c r="E24" s="1644"/>
      <c r="F24" s="1644"/>
      <c r="G24" s="1644"/>
      <c r="H24" s="1644"/>
      <c r="I24" s="1644"/>
      <c r="J24" s="1644"/>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c r="AL24" s="103"/>
      <c r="AM24" s="27"/>
      <c r="AN24" s="672"/>
      <c r="AO24" s="91"/>
    </row>
    <row r="25" spans="1:42" s="4" customFormat="1" ht="12.75" customHeight="1">
      <c r="A25" s="27"/>
      <c r="B25" s="1644"/>
      <c r="C25" s="1644"/>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4"/>
      <c r="AJ25" s="1644"/>
      <c r="AK25" s="1644"/>
      <c r="AL25" s="103"/>
      <c r="AM25" s="27"/>
      <c r="AN25" s="672"/>
    </row>
    <row r="26" spans="1:42" s="4" customFormat="1" ht="12.75" customHeight="1">
      <c r="A26" s="27"/>
      <c r="B26" s="1644"/>
      <c r="C26" s="1644"/>
      <c r="D26" s="1644"/>
      <c r="E26" s="1644"/>
      <c r="F26" s="1644"/>
      <c r="G26" s="1644"/>
      <c r="H26" s="1644"/>
      <c r="I26" s="1644"/>
      <c r="J26" s="1644"/>
      <c r="K26" s="1644"/>
      <c r="L26" s="1644"/>
      <c r="M26" s="1644"/>
      <c r="N26" s="1644"/>
      <c r="O26" s="1644"/>
      <c r="P26" s="1644"/>
      <c r="Q26" s="1644"/>
      <c r="R26" s="1644"/>
      <c r="S26" s="1644"/>
      <c r="T26" s="1644"/>
      <c r="U26" s="1644"/>
      <c r="V26" s="1644"/>
      <c r="W26" s="1644"/>
      <c r="X26" s="1644"/>
      <c r="Y26" s="1644"/>
      <c r="Z26" s="1644"/>
      <c r="AA26" s="1644"/>
      <c r="AB26" s="1644"/>
      <c r="AC26" s="1644"/>
      <c r="AD26" s="1644"/>
      <c r="AE26" s="1644"/>
      <c r="AF26" s="1644"/>
      <c r="AG26" s="1644"/>
      <c r="AH26" s="1644"/>
      <c r="AI26" s="1644"/>
      <c r="AJ26" s="1644"/>
      <c r="AK26" s="1644"/>
      <c r="AL26" s="103"/>
      <c r="AM26" s="27"/>
      <c r="AN26" s="281"/>
    </row>
    <row r="27" spans="1:42" s="4" customFormat="1" ht="12.75" customHeight="1">
      <c r="A27" s="27"/>
      <c r="B27" s="1644"/>
      <c r="C27" s="1644"/>
      <c r="D27" s="1644"/>
      <c r="E27" s="1644"/>
      <c r="F27" s="1644"/>
      <c r="G27" s="1644"/>
      <c r="H27" s="1644"/>
      <c r="I27" s="1644"/>
      <c r="J27" s="1644"/>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1644"/>
      <c r="AI27" s="1644"/>
      <c r="AJ27" s="1644"/>
      <c r="AK27" s="1644"/>
      <c r="AL27" s="103"/>
      <c r="AM27" s="27"/>
      <c r="AN27" s="614"/>
    </row>
    <row r="28" spans="1:42" s="4" customFormat="1" ht="12.75" customHeight="1">
      <c r="A28" s="27"/>
      <c r="B28" s="1644"/>
      <c r="C28" s="1644"/>
      <c r="D28" s="1644"/>
      <c r="E28" s="1644"/>
      <c r="F28" s="1644"/>
      <c r="G28" s="1644"/>
      <c r="H28" s="1644"/>
      <c r="I28" s="1644"/>
      <c r="J28" s="1644"/>
      <c r="K28" s="1644"/>
      <c r="L28" s="1644"/>
      <c r="M28" s="1644"/>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c r="AL28" s="103"/>
      <c r="AM28" s="27"/>
      <c r="AN28" s="614"/>
    </row>
    <row r="29" spans="1:42" s="4" customFormat="1" ht="31.65" customHeight="1">
      <c r="A29" s="27"/>
      <c r="B29" s="1644"/>
      <c r="C29" s="1644"/>
      <c r="D29" s="1644"/>
      <c r="E29" s="1644"/>
      <c r="F29" s="1644"/>
      <c r="G29" s="1644"/>
      <c r="H29" s="1644"/>
      <c r="I29" s="1644"/>
      <c r="J29" s="1644"/>
      <c r="K29" s="1644"/>
      <c r="L29" s="1644"/>
      <c r="M29" s="1644"/>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c r="AL29" s="103"/>
      <c r="AM29" s="27"/>
      <c r="AN29" s="614"/>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7" t="str">
        <f>Application!AA329</f>
        <v>The John Stewart Company</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5" t="s">
        <v>1247</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5" t="s">
        <v>124</v>
      </c>
      <c r="AA40" s="179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5" t="s">
        <v>1119</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1"/>
      <c r="AL47" s="319"/>
      <c r="AM47" s="90"/>
      <c r="AN47" s="281"/>
    </row>
    <row r="48" spans="1:42" s="4" customFormat="1" ht="12.75" customHeight="1">
      <c r="A48" s="5"/>
      <c r="B48" s="42"/>
      <c r="R48" s="5"/>
      <c r="S48" s="42"/>
      <c r="AN48" s="281"/>
    </row>
    <row r="49" spans="1:46" s="4" customFormat="1" ht="12.75" customHeight="1">
      <c r="B49" s="1644" t="s">
        <v>1470</v>
      </c>
      <c r="C49" s="1644"/>
      <c r="D49" s="1644"/>
      <c r="E49" s="1644"/>
      <c r="F49" s="1644"/>
      <c r="G49" s="1644"/>
      <c r="H49" s="1644"/>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03"/>
      <c r="AM49" s="27"/>
      <c r="AN49" s="281"/>
    </row>
    <row r="50" spans="1:46" s="4" customFormat="1" ht="12.75" customHeight="1">
      <c r="A50" s="26"/>
      <c r="B50" s="1644"/>
      <c r="C50" s="1644"/>
      <c r="D50" s="1644"/>
      <c r="E50" s="1644"/>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03"/>
      <c r="AM50" s="27"/>
      <c r="AN50" s="281"/>
    </row>
    <row r="51" spans="1:46" s="4" customFormat="1" ht="12.75" customHeight="1">
      <c r="A51" s="26"/>
      <c r="B51" s="1644"/>
      <c r="C51" s="1644"/>
      <c r="D51" s="1644"/>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03"/>
      <c r="AM51" s="27"/>
      <c r="AN51" s="281"/>
    </row>
    <row r="52" spans="1:46" s="4" customFormat="1" ht="12.75" customHeight="1">
      <c r="A52" s="26"/>
      <c r="B52" s="1644"/>
      <c r="C52" s="1644"/>
      <c r="D52" s="1644"/>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03"/>
      <c r="AM52" s="27"/>
      <c r="AN52" s="281"/>
    </row>
    <row r="53" spans="1:46" s="4" customFormat="1" ht="12.75" customHeight="1">
      <c r="A53" s="26"/>
      <c r="B53" s="1644"/>
      <c r="C53" s="1644"/>
      <c r="D53" s="1644"/>
      <c r="E53" s="1644"/>
      <c r="F53" s="1644"/>
      <c r="G53" s="1644"/>
      <c r="H53" s="1644"/>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03"/>
      <c r="AM53" s="27"/>
      <c r="AN53" s="281"/>
    </row>
    <row r="54" spans="1:46" s="4" customFormat="1" ht="12.75" customHeight="1">
      <c r="A54" s="26"/>
      <c r="B54" s="1644"/>
      <c r="C54" s="1644"/>
      <c r="D54" s="1644"/>
      <c r="E54" s="1644"/>
      <c r="F54" s="1644"/>
      <c r="G54" s="1644"/>
      <c r="H54" s="1644"/>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03"/>
      <c r="AM54" s="27"/>
      <c r="AN54" s="281"/>
    </row>
    <row r="55" spans="1:46" s="4" customFormat="1" ht="33.450000000000003" customHeight="1">
      <c r="A55" s="26"/>
      <c r="B55" s="1644"/>
      <c r="C55" s="1644"/>
      <c r="D55" s="1644"/>
      <c r="E55" s="1644"/>
      <c r="F55" s="1644"/>
      <c r="G55" s="1644"/>
      <c r="H55" s="1644"/>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4" t="s">
        <v>2200</v>
      </c>
      <c r="C57" s="1644"/>
      <c r="D57" s="1644"/>
      <c r="E57" s="1644"/>
      <c r="F57" s="1644"/>
      <c r="G57" s="1644"/>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03"/>
      <c r="AM57" s="27"/>
      <c r="AN57" s="281"/>
    </row>
    <row r="58" spans="1:46" s="4" customFormat="1" ht="12.75" customHeight="1">
      <c r="B58" s="1644"/>
      <c r="C58" s="1644"/>
      <c r="D58" s="1644"/>
      <c r="E58" s="1644"/>
      <c r="F58" s="1644"/>
      <c r="G58" s="1644"/>
      <c r="H58" s="1644"/>
      <c r="I58" s="164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03"/>
      <c r="AM58" s="27"/>
      <c r="AN58" s="281"/>
    </row>
    <row r="59" spans="1:46" s="4" customFormat="1" ht="22.95" customHeight="1">
      <c r="A59" s="426"/>
      <c r="B59" s="1644"/>
      <c r="C59" s="1644"/>
      <c r="D59" s="1644"/>
      <c r="E59" s="1644"/>
      <c r="F59" s="1644"/>
      <c r="G59" s="1644"/>
      <c r="H59" s="1644"/>
      <c r="I59" s="164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3">
        <f>$AJ$31+$AJ$47</f>
        <v>10</v>
      </c>
      <c r="AL61" s="1714"/>
      <c r="AM61" s="171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2" t="s">
        <v>364</v>
      </c>
      <c r="AF64" s="1682"/>
      <c r="AG64" s="1682"/>
      <c r="AH64" s="1682"/>
      <c r="AI64" s="1682"/>
      <c r="AJ64" s="1682"/>
      <c r="AK64" s="168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5" t="s">
        <v>663</v>
      </c>
      <c r="C66" s="1795"/>
      <c r="D66" s="1795"/>
      <c r="E66" s="1795"/>
      <c r="F66" s="1795"/>
      <c r="G66" s="1795"/>
      <c r="H66" s="1795"/>
      <c r="I66" s="1795"/>
      <c r="J66" s="1795"/>
      <c r="K66" s="1795"/>
      <c r="AF66" s="1690" t="s">
        <v>938</v>
      </c>
      <c r="AG66" s="1690"/>
      <c r="AH66" s="1690"/>
      <c r="AI66" s="1690"/>
      <c r="AJ66" s="1690"/>
      <c r="AK66" s="1690"/>
      <c r="AL66" s="1690"/>
      <c r="AN66" s="281"/>
      <c r="AP66" s="4" t="s">
        <v>124</v>
      </c>
      <c r="AS66" s="4" t="s">
        <v>665</v>
      </c>
      <c r="AT66" s="4">
        <v>10</v>
      </c>
    </row>
    <row r="67" spans="1:46" s="4" customFormat="1" ht="12.75" customHeight="1">
      <c r="B67" s="1796" t="s">
        <v>1319</v>
      </c>
      <c r="C67" s="1796"/>
      <c r="D67" s="1796"/>
      <c r="E67" s="1796"/>
      <c r="F67" s="1796"/>
      <c r="G67" s="1796"/>
      <c r="H67" s="1796"/>
      <c r="I67" s="1796"/>
      <c r="J67" s="1796"/>
      <c r="K67" s="1796"/>
      <c r="L67" s="1796"/>
      <c r="M67" s="1796"/>
      <c r="N67" s="1796"/>
      <c r="O67" s="1796"/>
      <c r="P67" s="1796"/>
      <c r="Q67" s="1796"/>
      <c r="R67" s="1796"/>
      <c r="S67" s="1796"/>
      <c r="T67" s="1795" t="s">
        <v>124</v>
      </c>
      <c r="U67" s="1795"/>
      <c r="V67" s="1795"/>
      <c r="W67" s="1795"/>
      <c r="X67" s="1795"/>
      <c r="Y67" s="1795"/>
      <c r="Z67" s="1795"/>
      <c r="AA67" s="1795"/>
      <c r="AB67" s="1795"/>
      <c r="AC67" s="179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10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977</v>
      </c>
      <c r="AF73" s="1682"/>
      <c r="AG73" s="1682"/>
      <c r="AH73" s="1682"/>
      <c r="AI73" s="1682"/>
      <c r="AJ73" s="1682"/>
      <c r="AK73" s="168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4" t="s">
        <v>2115</v>
      </c>
      <c r="C75" s="1644"/>
      <c r="D75" s="1644"/>
      <c r="E75" s="1644"/>
      <c r="F75" s="1644"/>
      <c r="G75" s="1644"/>
      <c r="H75" s="1644"/>
      <c r="I75" s="164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03"/>
      <c r="AM75" s="27"/>
      <c r="AN75" s="281"/>
    </row>
    <row r="76" spans="1:46" s="4" customFormat="1" ht="12.75" customHeight="1">
      <c r="A76" s="27"/>
      <c r="B76" s="1644"/>
      <c r="C76" s="1644"/>
      <c r="D76" s="1644"/>
      <c r="E76" s="1644"/>
      <c r="F76" s="1644"/>
      <c r="G76" s="1644"/>
      <c r="H76" s="1644"/>
      <c r="I76" s="164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03"/>
      <c r="AM76" s="27"/>
      <c r="AN76" s="281"/>
    </row>
    <row r="77" spans="1:46" s="4" customFormat="1" ht="12.75" customHeight="1">
      <c r="A77" s="27"/>
      <c r="B77" s="1644"/>
      <c r="C77" s="1644"/>
      <c r="D77" s="1644"/>
      <c r="E77" s="1644"/>
      <c r="F77" s="1644"/>
      <c r="G77" s="1644"/>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03"/>
      <c r="AM77" s="27"/>
      <c r="AN77" s="281"/>
    </row>
    <row r="78" spans="1:46" s="4" customFormat="1" ht="12.75" customHeight="1">
      <c r="A78" s="27"/>
      <c r="B78" s="1644"/>
      <c r="C78" s="1644"/>
      <c r="D78" s="1644"/>
      <c r="E78" s="1644"/>
      <c r="F78" s="1644"/>
      <c r="G78" s="1644"/>
      <c r="H78" s="1644"/>
      <c r="I78" s="164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03"/>
      <c r="AM78" s="27"/>
      <c r="AN78" s="281"/>
    </row>
    <row r="79" spans="1:46" s="4" customFormat="1" ht="12.75" customHeight="1">
      <c r="A79" s="27"/>
      <c r="B79" s="1644"/>
      <c r="C79" s="1644"/>
      <c r="D79" s="1644"/>
      <c r="E79" s="1644"/>
      <c r="F79" s="1644"/>
      <c r="G79" s="1644"/>
      <c r="H79" s="1644"/>
      <c r="I79" s="164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03"/>
      <c r="AM79" s="27"/>
      <c r="AN79" s="281"/>
    </row>
    <row r="80" spans="1:46" s="4" customFormat="1" ht="12.75" customHeight="1">
      <c r="A80" s="27"/>
      <c r="B80" s="1644"/>
      <c r="C80" s="1644"/>
      <c r="D80" s="1644"/>
      <c r="E80" s="1644"/>
      <c r="F80" s="1644"/>
      <c r="G80" s="1644"/>
      <c r="H80" s="1644"/>
      <c r="I80" s="164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03"/>
      <c r="AM80" s="27"/>
      <c r="AN80" s="281"/>
    </row>
    <row r="81" spans="1:42" ht="12.75" customHeight="1">
      <c r="A81" s="27"/>
      <c r="B81" s="1644"/>
      <c r="C81" s="1644"/>
      <c r="D81" s="1644"/>
      <c r="E81" s="1644"/>
      <c r="F81" s="1644"/>
      <c r="G81" s="1644"/>
      <c r="H81" s="1644"/>
      <c r="I81" s="164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03"/>
      <c r="AM81" s="27"/>
    </row>
    <row r="82" spans="1:42" s="4" customFormat="1" ht="12.75" customHeight="1">
      <c r="B82" s="1644"/>
      <c r="C82" s="1644"/>
      <c r="D82" s="1644"/>
      <c r="E82" s="1644"/>
      <c r="F82" s="1644"/>
      <c r="G82" s="1644"/>
      <c r="H82" s="1644"/>
      <c r="I82" s="164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03"/>
      <c r="AN82" s="281"/>
    </row>
    <row r="83" spans="1:42" s="4" customFormat="1" ht="12.75" customHeight="1">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03"/>
      <c r="AN83" s="281"/>
    </row>
    <row r="84" spans="1:42" s="4" customFormat="1" ht="14.4" customHeight="1">
      <c r="B84" s="1644"/>
      <c r="C84" s="1644"/>
      <c r="D84" s="1644"/>
      <c r="E84" s="1644"/>
      <c r="F84" s="1644"/>
      <c r="G84" s="1644"/>
      <c r="H84" s="1644"/>
      <c r="I84" s="164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03"/>
      <c r="AN84" s="281"/>
    </row>
    <row r="85" spans="1:42" s="4" customFormat="1" ht="12.75" customHeight="1">
      <c r="B85" s="1644"/>
      <c r="C85" s="1644"/>
      <c r="D85" s="1644"/>
      <c r="E85" s="1644"/>
      <c r="F85" s="1644"/>
      <c r="G85" s="1644"/>
      <c r="H85" s="1644"/>
      <c r="I85" s="164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0" t="s">
        <v>854</v>
      </c>
      <c r="AG90" s="1690"/>
      <c r="AH90" s="1690"/>
      <c r="AI90" s="1690"/>
      <c r="AJ90" s="1690"/>
      <c r="AK90" s="1690"/>
      <c r="AL90" s="169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0" t="s">
        <v>58</v>
      </c>
      <c r="AG95" s="1690"/>
      <c r="AH95" s="1690"/>
      <c r="AI95" s="1690"/>
      <c r="AJ95" s="1690"/>
      <c r="AK95" s="1690"/>
      <c r="AL95" s="169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0" t="s">
        <v>59</v>
      </c>
      <c r="AG100" s="1690"/>
      <c r="AH100" s="1690"/>
      <c r="AI100" s="1690"/>
      <c r="AJ100" s="1690"/>
      <c r="AK100" s="1690"/>
      <c r="AL100" s="169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0" t="s">
        <v>60</v>
      </c>
      <c r="AG105" s="1690"/>
      <c r="AH105" s="1690"/>
      <c r="AI105" s="1690"/>
      <c r="AJ105" s="1690"/>
      <c r="AK105" s="1690"/>
      <c r="AL105" s="169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0" t="s">
        <v>61</v>
      </c>
      <c r="AG109" s="1690"/>
      <c r="AH109" s="1690"/>
      <c r="AI109" s="1690"/>
      <c r="AJ109" s="1690"/>
      <c r="AK109" s="1690"/>
      <c r="AL109" s="1690"/>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1" t="s">
        <v>731</v>
      </c>
      <c r="I112" s="1681"/>
      <c r="J112" s="116"/>
      <c r="K112" s="116"/>
      <c r="L112" s="116"/>
      <c r="M112" s="936" t="s">
        <v>2099</v>
      </c>
      <c r="R112" s="1800" t="s">
        <v>2219</v>
      </c>
      <c r="S112" s="1800"/>
      <c r="T112" s="1800"/>
      <c r="U112" s="1800"/>
      <c r="V112" s="1800"/>
      <c r="W112" s="1800"/>
      <c r="Y112" s="1569" t="str">
        <f>IF(AND(H112="(i)",NOT(Application!AF411&gt;25)),AO103,IF(AND(H112="(iv)",OR(R112=AO108,R112=AO109),NOT(AP94)),AO104,""))</f>
        <v/>
      </c>
      <c r="Z112" s="1569"/>
      <c r="AA112" s="1569"/>
      <c r="AB112" s="1569"/>
      <c r="AC112" s="1569"/>
      <c r="AD112" s="1569"/>
      <c r="AE112" s="1569"/>
      <c r="AF112" s="1569"/>
      <c r="AG112" s="1569"/>
      <c r="AH112" s="1569"/>
      <c r="AI112" s="1569"/>
      <c r="AJ112" s="1569"/>
      <c r="AK112" s="1569"/>
      <c r="AL112" s="1569"/>
      <c r="AM112" s="1881"/>
      <c r="AN112" s="956"/>
    </row>
    <row r="113" spans="1:47" s="4" customFormat="1" ht="12.75" customHeight="1">
      <c r="B113" s="5"/>
      <c r="C113" s="115"/>
      <c r="E113" s="116"/>
      <c r="F113" s="116"/>
      <c r="G113" s="116"/>
      <c r="H113" s="116"/>
      <c r="I113" s="116"/>
      <c r="J113" s="116"/>
      <c r="K113" s="116"/>
      <c r="L113" s="116"/>
      <c r="M113" s="116"/>
      <c r="Y113" s="1569"/>
      <c r="Z113" s="1569"/>
      <c r="AA113" s="1569"/>
      <c r="AB113" s="1569"/>
      <c r="AC113" s="1569"/>
      <c r="AD113" s="1569"/>
      <c r="AE113" s="1569"/>
      <c r="AF113" s="1569"/>
      <c r="AG113" s="1569"/>
      <c r="AH113" s="1569"/>
      <c r="AI113" s="1569"/>
      <c r="AJ113" s="1569"/>
      <c r="AK113" s="1569"/>
      <c r="AL113" s="1569"/>
      <c r="AM113" s="1881"/>
      <c r="AN113" s="956"/>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2" t="s">
        <v>2247</v>
      </c>
      <c r="E116" s="1882"/>
      <c r="F116" s="1882"/>
      <c r="G116" s="1882"/>
      <c r="H116" s="1882"/>
      <c r="I116" s="1882"/>
      <c r="J116" s="1882"/>
      <c r="K116" s="1882"/>
      <c r="L116" s="1882"/>
      <c r="M116" s="1882"/>
      <c r="N116" s="1882"/>
      <c r="O116" s="1882"/>
      <c r="P116" s="1882"/>
      <c r="Q116" s="1882"/>
      <c r="R116" s="1882"/>
      <c r="S116" s="1882"/>
      <c r="T116" s="1882"/>
      <c r="U116" s="1882"/>
      <c r="V116" s="1882"/>
      <c r="W116" s="1882"/>
      <c r="X116" s="1882"/>
      <c r="Y116" s="1882"/>
      <c r="Z116" s="1882"/>
      <c r="AA116" s="1882"/>
      <c r="AB116" s="1882"/>
      <c r="AC116" s="1882"/>
      <c r="AD116" s="1882"/>
      <c r="AE116" s="1882"/>
      <c r="AF116" s="1882"/>
      <c r="AG116" s="1882"/>
      <c r="AH116" s="1882"/>
      <c r="AN116" s="281"/>
      <c r="AO116" s="4" t="s">
        <v>124</v>
      </c>
      <c r="AP116" s="472">
        <v>0</v>
      </c>
    </row>
    <row r="117" spans="1:47" s="4" customFormat="1" ht="12.75" customHeight="1">
      <c r="B117" s="5"/>
      <c r="C117" s="115"/>
      <c r="D117" s="1882"/>
      <c r="E117" s="1882"/>
      <c r="F117" s="1882"/>
      <c r="G117" s="1882"/>
      <c r="H117" s="1882"/>
      <c r="I117" s="1882"/>
      <c r="J117" s="1882"/>
      <c r="K117" s="1882"/>
      <c r="L117" s="1882"/>
      <c r="M117" s="1882"/>
      <c r="N117" s="1882"/>
      <c r="O117" s="1882"/>
      <c r="P117" s="1882"/>
      <c r="Q117" s="1882"/>
      <c r="R117" s="1882"/>
      <c r="S117" s="1882"/>
      <c r="T117" s="1882"/>
      <c r="U117" s="1882"/>
      <c r="V117" s="1882"/>
      <c r="W117" s="1882"/>
      <c r="X117" s="1882"/>
      <c r="Y117" s="1882"/>
      <c r="Z117" s="1882"/>
      <c r="AA117" s="1882"/>
      <c r="AB117" s="1882"/>
      <c r="AC117" s="1882"/>
      <c r="AD117" s="1882"/>
      <c r="AE117" s="1882"/>
      <c r="AF117" s="1882"/>
      <c r="AG117" s="1882"/>
      <c r="AH117" s="1882"/>
      <c r="AN117" s="281"/>
      <c r="AO117" s="4" t="s">
        <v>1471</v>
      </c>
      <c r="AP117" s="4">
        <v>3</v>
      </c>
    </row>
    <row r="118" spans="1:47" s="4" customFormat="1" ht="12.75" customHeight="1">
      <c r="B118" s="5"/>
      <c r="C118" s="115"/>
      <c r="E118" s="4" t="s">
        <v>147</v>
      </c>
      <c r="F118" s="116"/>
      <c r="G118" s="116"/>
      <c r="H118" s="1799" t="s">
        <v>124</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5" t="s">
        <v>124</v>
      </c>
      <c r="C120" s="1795"/>
      <c r="D120" s="49"/>
      <c r="E120" s="1644" t="s">
        <v>1769</v>
      </c>
      <c r="F120" s="1644"/>
      <c r="G120" s="1644"/>
      <c r="H120" s="1644"/>
      <c r="I120" s="164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49"/>
      <c r="AI120" s="49"/>
      <c r="AJ120" s="49"/>
      <c r="AK120" s="49"/>
      <c r="AL120" s="49"/>
      <c r="AN120" s="281"/>
    </row>
    <row r="121" spans="1:47" s="4" customFormat="1" ht="12.75" customHeight="1">
      <c r="B121" s="5"/>
      <c r="C121" s="115"/>
      <c r="D121" s="49"/>
      <c r="E121" s="1644"/>
      <c r="F121" s="1644"/>
      <c r="G121" s="1644"/>
      <c r="H121" s="1644"/>
      <c r="I121" s="164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49"/>
      <c r="AI121" s="49"/>
      <c r="AJ121" s="49"/>
      <c r="AK121" s="49"/>
      <c r="AL121" s="49"/>
      <c r="AN121" s="281"/>
    </row>
    <row r="122" spans="1:47" s="4" customFormat="1" ht="12.75" customHeight="1">
      <c r="B122" s="5"/>
      <c r="C122" s="115"/>
      <c r="D122" s="49"/>
      <c r="E122" s="1644"/>
      <c r="F122" s="1644"/>
      <c r="G122" s="1644"/>
      <c r="H122" s="1644"/>
      <c r="I122" s="164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4</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8" t="s">
        <v>1837</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90" t="s">
        <v>61</v>
      </c>
      <c r="AG128" s="1690"/>
      <c r="AH128" s="1690"/>
      <c r="AI128" s="1690"/>
      <c r="AJ128" s="1690"/>
      <c r="AK128" s="1690"/>
      <c r="AL128" s="1690"/>
      <c r="AM128" s="4"/>
      <c r="AN128" s="298"/>
      <c r="AO128" s="4" t="str">
        <f>S133</f>
        <v>N/A</v>
      </c>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2.95"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2" t="s">
        <v>124</v>
      </c>
      <c r="T133" s="1802"/>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0" t="s">
        <v>103</v>
      </c>
      <c r="AG135" s="1690"/>
      <c r="AH135" s="1690"/>
      <c r="AI135" s="1690"/>
      <c r="AJ135" s="1690"/>
      <c r="AK135" s="1690"/>
      <c r="AL135" s="169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1" t="s">
        <v>581</v>
      </c>
      <c r="I137" s="168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3</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0" t="s">
        <v>61</v>
      </c>
      <c r="AG143" s="1690"/>
      <c r="AH143" s="1690"/>
      <c r="AI143" s="1690"/>
      <c r="AJ143" s="1690"/>
      <c r="AK143" s="1690"/>
      <c r="AL143" s="169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1" t="s">
        <v>197</v>
      </c>
      <c r="I149" s="168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2</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4" t="s">
        <v>746</v>
      </c>
      <c r="F156" s="1644"/>
      <c r="G156" s="1644"/>
      <c r="H156" s="1644"/>
      <c r="I156" s="164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E156" s="342"/>
      <c r="AF156" s="1109" t="s">
        <v>59</v>
      </c>
      <c r="AG156" s="1109"/>
      <c r="AH156" s="1109"/>
      <c r="AI156" s="1109"/>
      <c r="AJ156" s="1109"/>
      <c r="AK156" s="1109"/>
      <c r="AL156" s="1109"/>
      <c r="AN156" s="281"/>
    </row>
    <row r="157" spans="1:42" s="4" customFormat="1" ht="12.75" customHeight="1">
      <c r="C157" s="3"/>
      <c r="E157" s="1644"/>
      <c r="F157" s="1644"/>
      <c r="G157" s="1644"/>
      <c r="H157" s="1644"/>
      <c r="I157" s="164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E157" s="342"/>
      <c r="AF157" s="342"/>
      <c r="AG157" s="342"/>
      <c r="AH157" s="342"/>
      <c r="AI157" s="342"/>
      <c r="AJ157" s="342"/>
      <c r="AK157" s="342"/>
      <c r="AL157" s="342"/>
      <c r="AN157" s="281"/>
    </row>
    <row r="158" spans="1:42" s="4" customFormat="1" ht="12.75" customHeight="1">
      <c r="C158" s="3"/>
      <c r="D158" s="26"/>
      <c r="E158" s="1644"/>
      <c r="F158" s="1644"/>
      <c r="G158" s="1644"/>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4" t="s">
        <v>1713</v>
      </c>
      <c r="F160" s="1644"/>
      <c r="G160" s="1644"/>
      <c r="H160" s="1644"/>
      <c r="I160" s="164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E160" s="342"/>
      <c r="AF160" s="1109" t="s">
        <v>60</v>
      </c>
      <c r="AG160" s="1109"/>
      <c r="AH160" s="1109"/>
      <c r="AI160" s="1109"/>
      <c r="AJ160" s="1109"/>
      <c r="AK160" s="1109"/>
      <c r="AL160" s="1109"/>
      <c r="AN160" s="281"/>
    </row>
    <row r="161" spans="1:42" s="4" customFormat="1" ht="12.75" customHeight="1">
      <c r="C161" s="3"/>
      <c r="E161" s="1644"/>
      <c r="F161" s="1644"/>
      <c r="G161" s="1644"/>
      <c r="H161" s="1644"/>
      <c r="I161" s="164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E161" s="342"/>
      <c r="AF161" s="342"/>
      <c r="AG161" s="342"/>
      <c r="AH161" s="342"/>
      <c r="AI161" s="342"/>
      <c r="AJ161" s="342"/>
      <c r="AK161" s="342"/>
      <c r="AL161" s="342"/>
      <c r="AN161" s="281"/>
    </row>
    <row r="162" spans="1:42" s="4" customFormat="1" ht="15" customHeight="1">
      <c r="C162" s="3"/>
      <c r="D162" s="26"/>
      <c r="E162" s="1644"/>
      <c r="F162" s="1644"/>
      <c r="G162" s="1644"/>
      <c r="H162" s="1644"/>
      <c r="I162" s="164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4" t="s">
        <v>1714</v>
      </c>
      <c r="F164" s="1644"/>
      <c r="G164" s="1644"/>
      <c r="H164" s="1644"/>
      <c r="I164" s="164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E164" s="342"/>
      <c r="AF164" s="1109" t="s">
        <v>61</v>
      </c>
      <c r="AG164" s="1109"/>
      <c r="AH164" s="1109"/>
      <c r="AI164" s="1109"/>
      <c r="AJ164" s="1109"/>
      <c r="AK164" s="1109"/>
      <c r="AL164" s="1109"/>
      <c r="AN164" s="281"/>
    </row>
    <row r="165" spans="1:42" s="4" customFormat="1" ht="12.75" customHeight="1">
      <c r="B165" s="5"/>
      <c r="C165" s="45"/>
      <c r="E165" s="1644"/>
      <c r="F165" s="1644"/>
      <c r="G165" s="1644"/>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E165" s="1109"/>
      <c r="AF165" s="1109"/>
      <c r="AG165" s="1109"/>
      <c r="AH165" s="1109"/>
      <c r="AI165" s="1109"/>
      <c r="AJ165" s="1109"/>
      <c r="AK165" s="1109"/>
      <c r="AL165" s="966"/>
      <c r="AN165" s="281"/>
    </row>
    <row r="166" spans="1:42" s="4" customFormat="1" ht="12.75" customHeight="1">
      <c r="A166" s="120"/>
      <c r="D166" s="26"/>
      <c r="E166" s="1644"/>
      <c r="F166" s="1644"/>
      <c r="G166" s="1644"/>
      <c r="H166" s="1644"/>
      <c r="I166" s="164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4" t="s">
        <v>1715</v>
      </c>
      <c r="F168" s="1644"/>
      <c r="G168" s="1644"/>
      <c r="H168" s="1644"/>
      <c r="I168" s="164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E168" s="342"/>
      <c r="AF168" s="1109" t="s">
        <v>60</v>
      </c>
      <c r="AG168" s="1109"/>
      <c r="AH168" s="1109"/>
      <c r="AI168" s="1109"/>
      <c r="AJ168" s="1109"/>
      <c r="AK168" s="1109"/>
      <c r="AL168" s="1109"/>
      <c r="AN168" s="281"/>
    </row>
    <row r="169" spans="1:42" s="4" customFormat="1" ht="12.75" customHeight="1">
      <c r="A169" s="111"/>
      <c r="B169" s="5"/>
      <c r="C169" s="126"/>
      <c r="D169" s="26"/>
      <c r="E169" s="1644"/>
      <c r="F169" s="1644"/>
      <c r="G169" s="1644"/>
      <c r="H169" s="1644"/>
      <c r="I169" s="164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E170" s="966"/>
      <c r="AF170" s="966"/>
      <c r="AG170" s="966"/>
      <c r="AH170" s="966"/>
      <c r="AI170" s="966"/>
      <c r="AJ170" s="966"/>
      <c r="AK170" s="966"/>
      <c r="AL170" s="966"/>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732</v>
      </c>
      <c r="E172" s="1644" t="s">
        <v>1716</v>
      </c>
      <c r="F172" s="1644"/>
      <c r="G172" s="1644"/>
      <c r="H172" s="1644"/>
      <c r="I172" s="164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4"/>
      <c r="F173" s="1644"/>
      <c r="G173" s="1644"/>
      <c r="H173" s="1644"/>
      <c r="I173" s="164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4"/>
      <c r="F174" s="1644"/>
      <c r="G174" s="1644"/>
      <c r="H174" s="1644"/>
      <c r="I174" s="164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4" t="s">
        <v>1473</v>
      </c>
      <c r="F176" s="1644"/>
      <c r="G176" s="1644"/>
      <c r="H176" s="1644"/>
      <c r="I176" s="164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E176" s="342"/>
      <c r="AF176" s="1109" t="s">
        <v>103</v>
      </c>
      <c r="AG176" s="1109"/>
      <c r="AH176" s="1109"/>
      <c r="AI176" s="1109"/>
      <c r="AJ176" s="1109"/>
      <c r="AK176" s="1109"/>
      <c r="AL176" s="1109"/>
      <c r="AM176" s="20"/>
      <c r="AN176" s="281"/>
      <c r="AO176" s="26" t="s">
        <v>281</v>
      </c>
      <c r="AP176" s="4">
        <v>1</v>
      </c>
    </row>
    <row r="177" spans="1:61" s="4" customFormat="1" ht="22.95" customHeight="1">
      <c r="A177" s="120"/>
      <c r="B177" s="5"/>
      <c r="C177" s="45"/>
      <c r="D177" s="26"/>
      <c r="E177" s="1644"/>
      <c r="F177" s="1644"/>
      <c r="G177" s="1644"/>
      <c r="H177" s="1644"/>
      <c r="I177" s="164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44" t="s">
        <v>1474</v>
      </c>
      <c r="F179" s="1644"/>
      <c r="G179" s="1644"/>
      <c r="H179" s="1644"/>
      <c r="I179" s="164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E179" s="342"/>
      <c r="AF179" s="1109" t="s">
        <v>318</v>
      </c>
      <c r="AG179" s="1109"/>
      <c r="AH179" s="1109"/>
      <c r="AI179" s="1109"/>
      <c r="AJ179" s="1109"/>
      <c r="AK179" s="1109"/>
      <c r="AL179" s="1109"/>
      <c r="AM179" s="20"/>
      <c r="AN179" s="281"/>
    </row>
    <row r="180" spans="1:61" s="4" customFormat="1" ht="22.95" customHeight="1">
      <c r="A180" s="120"/>
      <c r="B180" s="5"/>
      <c r="C180" s="45"/>
      <c r="D180" s="26"/>
      <c r="E180" s="1644"/>
      <c r="F180" s="1644"/>
      <c r="G180" s="1644"/>
      <c r="H180" s="1644"/>
      <c r="I180" s="164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1" t="s">
        <v>581</v>
      </c>
      <c r="I182" s="168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5</v>
      </c>
      <c r="AK184" s="1071"/>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0" t="s">
        <v>2310</v>
      </c>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D188" s="5"/>
      <c r="AF188" s="1135" t="s">
        <v>61</v>
      </c>
      <c r="AG188" s="1135"/>
      <c r="AH188" s="1135"/>
      <c r="AI188" s="1135"/>
      <c r="AJ188" s="1135"/>
      <c r="AK188" s="1135"/>
      <c r="AL188" s="1135"/>
      <c r="AN188" s="281"/>
    </row>
    <row r="189" spans="1:61" s="4" customFormat="1" ht="12.75" customHeight="1">
      <c r="A189" s="120"/>
      <c r="B189" s="5"/>
      <c r="C189" s="130"/>
      <c r="D189" s="26"/>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4" t="s">
        <v>2233</v>
      </c>
      <c r="F191" s="1644"/>
      <c r="G191" s="1644"/>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F191" s="1109" t="s">
        <v>61</v>
      </c>
      <c r="AG191" s="1109"/>
      <c r="AH191" s="1109"/>
      <c r="AI191" s="1109"/>
      <c r="AJ191" s="1109"/>
      <c r="AK191" s="1109"/>
      <c r="AL191" s="1109"/>
      <c r="AN191" s="281"/>
      <c r="AO191" s="26" t="s">
        <v>581</v>
      </c>
      <c r="AP191" s="4">
        <v>3</v>
      </c>
    </row>
    <row r="192" spans="1:61" s="4" customFormat="1" ht="12.75" customHeight="1">
      <c r="B192" s="5"/>
      <c r="C192" s="121"/>
      <c r="E192" s="1644"/>
      <c r="F192" s="1644"/>
      <c r="G192" s="1644"/>
      <c r="H192" s="1644"/>
      <c r="I192" s="1644"/>
      <c r="J192" s="1644"/>
      <c r="K192" s="1644"/>
      <c r="L192" s="1644"/>
      <c r="M192" s="1644"/>
      <c r="N192" s="1644"/>
      <c r="O192" s="1644"/>
      <c r="P192" s="1644"/>
      <c r="Q192" s="1644"/>
      <c r="R192" s="1644"/>
      <c r="S192" s="1644"/>
      <c r="T192" s="1644"/>
      <c r="U192" s="1644"/>
      <c r="V192" s="1644"/>
      <c r="W192" s="1644"/>
      <c r="X192" s="1644"/>
      <c r="Y192" s="1644"/>
      <c r="Z192" s="1644"/>
      <c r="AA192" s="1644"/>
      <c r="AB192" s="1644"/>
      <c r="AE192" s="19"/>
      <c r="AF192" s="1109"/>
      <c r="AG192" s="1109"/>
      <c r="AH192" s="1109"/>
      <c r="AI192" s="1109"/>
      <c r="AJ192" s="1109"/>
      <c r="AK192" s="1109"/>
      <c r="AL192" s="1109"/>
      <c r="AN192" s="281"/>
      <c r="AO192" s="26" t="s">
        <v>197</v>
      </c>
      <c r="AP192" s="26">
        <f>3*$AO$197</f>
        <v>3</v>
      </c>
    </row>
    <row r="193" spans="1:53" s="4" customFormat="1" ht="12.75" customHeight="1">
      <c r="B193" s="5"/>
      <c r="C193" s="121"/>
      <c r="E193" s="1644"/>
      <c r="F193" s="1644"/>
      <c r="G193" s="1644"/>
      <c r="H193" s="1644"/>
      <c r="I193" s="1644"/>
      <c r="J193" s="1644"/>
      <c r="K193" s="1644"/>
      <c r="L193" s="1644"/>
      <c r="M193" s="1644"/>
      <c r="N193" s="1644"/>
      <c r="O193" s="1644"/>
      <c r="P193" s="1644"/>
      <c r="Q193" s="1644"/>
      <c r="R193" s="1644"/>
      <c r="S193" s="1644"/>
      <c r="T193" s="1644"/>
      <c r="U193" s="1644"/>
      <c r="V193" s="1644"/>
      <c r="W193" s="1644"/>
      <c r="X193" s="1644"/>
      <c r="Y193" s="1644"/>
      <c r="Z193" s="1644"/>
      <c r="AA193" s="1644"/>
      <c r="AB193" s="1644"/>
      <c r="AE193" s="19"/>
      <c r="AF193" s="102"/>
      <c r="AG193" s="19"/>
      <c r="AH193" s="19"/>
      <c r="AI193" s="19"/>
      <c r="AJ193" s="19"/>
      <c r="AK193" s="19"/>
      <c r="AL193" s="19"/>
      <c r="AN193" s="281"/>
      <c r="AO193" s="4" t="s">
        <v>890</v>
      </c>
      <c r="AP193" s="26">
        <f>2*$AO$197</f>
        <v>2</v>
      </c>
    </row>
    <row r="194" spans="1:53" s="4" customFormat="1" ht="6.75" customHeight="1">
      <c r="B194" s="5"/>
      <c r="C194" s="121"/>
      <c r="E194" s="1644"/>
      <c r="F194" s="1644"/>
      <c r="G194" s="1644"/>
      <c r="H194" s="1644"/>
      <c r="I194" s="1644"/>
      <c r="J194" s="1644"/>
      <c r="K194" s="1644"/>
      <c r="L194" s="1644"/>
      <c r="M194" s="1644"/>
      <c r="N194" s="1644"/>
      <c r="O194" s="1644"/>
      <c r="P194" s="1644"/>
      <c r="Q194" s="1644"/>
      <c r="R194" s="1644"/>
      <c r="S194" s="1644"/>
      <c r="T194" s="1644"/>
      <c r="U194" s="1644"/>
      <c r="V194" s="1644"/>
      <c r="W194" s="1644"/>
      <c r="X194" s="1644"/>
      <c r="Y194" s="1644"/>
      <c r="Z194" s="1644"/>
      <c r="AA194" s="1644"/>
      <c r="AB194" s="164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4" t="s">
        <v>2234</v>
      </c>
      <c r="F196" s="1644"/>
      <c r="G196" s="1644"/>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F196" s="1109" t="s">
        <v>103</v>
      </c>
      <c r="AG196" s="1109"/>
      <c r="AH196" s="1109"/>
      <c r="AI196" s="1109"/>
      <c r="AJ196" s="1109"/>
      <c r="AK196" s="1109"/>
      <c r="AL196" s="1109"/>
      <c r="AN196" s="281"/>
      <c r="AY196" s="4" t="s">
        <v>2235</v>
      </c>
      <c r="AZ196" s="958">
        <f>Application!AC215</f>
        <v>0</v>
      </c>
    </row>
    <row r="197" spans="1:53" s="4" customFormat="1" ht="12.75" customHeight="1">
      <c r="B197" s="5"/>
      <c r="C197" s="45"/>
      <c r="E197" s="1644"/>
      <c r="F197" s="1644"/>
      <c r="G197" s="1644"/>
      <c r="H197" s="1644"/>
      <c r="I197" s="1644"/>
      <c r="J197" s="1644"/>
      <c r="K197" s="1644"/>
      <c r="L197" s="1644"/>
      <c r="M197" s="1644"/>
      <c r="N197" s="1644"/>
      <c r="O197" s="1644"/>
      <c r="P197" s="1644"/>
      <c r="Q197" s="1644"/>
      <c r="R197" s="1644"/>
      <c r="S197" s="1644"/>
      <c r="T197" s="1644"/>
      <c r="U197" s="1644"/>
      <c r="V197" s="1644"/>
      <c r="W197" s="1644"/>
      <c r="X197" s="1644"/>
      <c r="Y197" s="1644"/>
      <c r="Z197" s="1644"/>
      <c r="AA197" s="1644"/>
      <c r="AB197" s="1644"/>
      <c r="AD197" s="5"/>
      <c r="AE197" s="19"/>
      <c r="AF197" s="1109"/>
      <c r="AG197" s="1109"/>
      <c r="AH197" s="1109"/>
      <c r="AI197" s="1109"/>
      <c r="AJ197" s="1109"/>
      <c r="AK197" s="1109"/>
      <c r="AL197" s="1109"/>
      <c r="AN197" s="281"/>
      <c r="AO197" s="127" t="b">
        <f>IF(OR(Application!D214="Special Needs",Application!D211="At-Risk and Special Needs"),IF(BA203&gt;=0.25,TRUE,FALSE),IF(AZ203&gt;=0.25,TRUE,FALSE))</f>
        <v>1</v>
      </c>
      <c r="AY197" s="4" t="s">
        <v>2236</v>
      </c>
      <c r="AZ197" s="958">
        <f>Application!G730</f>
        <v>71</v>
      </c>
    </row>
    <row r="198" spans="1:53" s="4" customFormat="1" ht="12.75" customHeight="1">
      <c r="B198" s="5"/>
      <c r="C198" s="45"/>
      <c r="E198" s="1644"/>
      <c r="F198" s="1644"/>
      <c r="G198" s="1644"/>
      <c r="H198" s="1644"/>
      <c r="I198" s="1644"/>
      <c r="J198" s="1644"/>
      <c r="K198" s="1644"/>
      <c r="L198" s="1644"/>
      <c r="M198" s="1644"/>
      <c r="N198" s="1644"/>
      <c r="O198" s="1644"/>
      <c r="P198" s="1644"/>
      <c r="Q198" s="1644"/>
      <c r="R198" s="1644"/>
      <c r="S198" s="1644"/>
      <c r="T198" s="1644"/>
      <c r="U198" s="1644"/>
      <c r="V198" s="1644"/>
      <c r="W198" s="1644"/>
      <c r="X198" s="1644"/>
      <c r="Y198" s="1644"/>
      <c r="Z198" s="1644"/>
      <c r="AA198" s="1644"/>
      <c r="AB198" s="1644"/>
      <c r="AD198" s="5"/>
      <c r="AE198" s="19"/>
      <c r="AN198" s="281"/>
      <c r="AY198" s="4" t="s">
        <v>2238</v>
      </c>
      <c r="AZ198" s="4">
        <f>Application!CC626</f>
        <v>18</v>
      </c>
    </row>
    <row r="199" spans="1:53" customFormat="1" ht="12.75" customHeight="1">
      <c r="A199" s="4"/>
      <c r="B199" s="5"/>
      <c r="C199" s="45"/>
      <c r="D199" s="4"/>
      <c r="E199" s="1644"/>
      <c r="F199" s="1644"/>
      <c r="G199" s="1644"/>
      <c r="H199" s="1644"/>
      <c r="I199" s="164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1" t="s">
        <v>2292</v>
      </c>
      <c r="F201" s="1691"/>
      <c r="G201" s="1691"/>
      <c r="H201" s="1691"/>
      <c r="I201" s="1691"/>
      <c r="J201" s="1691"/>
      <c r="K201" s="1691"/>
      <c r="L201" s="1691"/>
      <c r="M201" s="1691"/>
      <c r="N201" s="1691"/>
      <c r="O201" s="1691"/>
      <c r="P201" s="1691"/>
      <c r="Q201" s="1691"/>
      <c r="R201" s="1691"/>
      <c r="S201" s="1691"/>
      <c r="T201" s="1691"/>
      <c r="U201" s="1691"/>
      <c r="V201" s="1691"/>
      <c r="W201" s="1691"/>
      <c r="X201" s="1691"/>
      <c r="Y201" s="1691"/>
      <c r="Z201" s="1691"/>
      <c r="AA201" s="1691"/>
      <c r="AB201" s="1691"/>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1"/>
      <c r="F202" s="1691"/>
      <c r="G202" s="1691"/>
      <c r="H202" s="1691"/>
      <c r="I202" s="1691"/>
      <c r="J202" s="1691"/>
      <c r="K202" s="1691"/>
      <c r="L202" s="1691"/>
      <c r="M202" s="1691"/>
      <c r="N202" s="1691"/>
      <c r="O202" s="1691"/>
      <c r="P202" s="1691"/>
      <c r="Q202" s="1691"/>
      <c r="R202" s="1691"/>
      <c r="S202" s="1691"/>
      <c r="T202" s="1691"/>
      <c r="U202" s="1691"/>
      <c r="V202" s="1691"/>
      <c r="W202" s="1691"/>
      <c r="X202" s="1691"/>
      <c r="Y202" s="1691"/>
      <c r="Z202" s="1691"/>
      <c r="AA202" s="1691"/>
      <c r="AB202" s="1691"/>
      <c r="AC202" s="4"/>
      <c r="AD202" s="5"/>
      <c r="AE202" s="19"/>
      <c r="AF202" s="19"/>
      <c r="AG202" s="19"/>
      <c r="AH202" s="19"/>
      <c r="AI202" s="19"/>
      <c r="AJ202" s="4"/>
      <c r="AK202" s="4"/>
      <c r="AL202" s="4"/>
      <c r="AM202" s="4"/>
      <c r="AN202" s="204"/>
      <c r="AY202" s="4" t="s">
        <v>2241</v>
      </c>
      <c r="AZ202">
        <f>AZ198+AZ199+AZ201</f>
        <v>18</v>
      </c>
    </row>
    <row r="203" spans="1:53" customFormat="1" ht="18" customHeight="1">
      <c r="A203" s="4"/>
      <c r="B203" s="5"/>
      <c r="C203" s="45"/>
      <c r="D203" s="4"/>
      <c r="E203" s="1691"/>
      <c r="F203" s="1691"/>
      <c r="G203" s="1691"/>
      <c r="H203" s="1691"/>
      <c r="I203" s="1691"/>
      <c r="J203" s="1691"/>
      <c r="K203" s="1691"/>
      <c r="L203" s="1691"/>
      <c r="M203" s="1691"/>
      <c r="N203" s="1691"/>
      <c r="O203" s="1691"/>
      <c r="P203" s="1691"/>
      <c r="Q203" s="1691"/>
      <c r="R203" s="1691"/>
      <c r="S203" s="1691"/>
      <c r="T203" s="1691"/>
      <c r="U203" s="1691"/>
      <c r="V203" s="1691"/>
      <c r="W203" s="1691"/>
      <c r="X203" s="1691"/>
      <c r="Y203" s="1691"/>
      <c r="Z203" s="1691"/>
      <c r="AA203" s="1691"/>
      <c r="AB203" s="1691"/>
      <c r="AC203" s="4"/>
      <c r="AD203" s="5"/>
      <c r="AE203" s="19"/>
      <c r="AF203" s="19"/>
      <c r="AG203" s="19"/>
      <c r="AH203" s="19"/>
      <c r="AI203" s="19"/>
      <c r="AJ203" s="4"/>
      <c r="AK203" s="4"/>
      <c r="AL203" s="4"/>
      <c r="AM203" s="4"/>
      <c r="AN203" s="204"/>
      <c r="AY203" s="4" t="s">
        <v>2242</v>
      </c>
      <c r="AZ203">
        <f>IFERROR(AZ202/AZ197,0)</f>
        <v>0.25352112676056338</v>
      </c>
      <c r="BA203">
        <f>IFERROR(AZ202/(AZ197-AZ196),0)</f>
        <v>0.25352112676056338</v>
      </c>
    </row>
    <row r="204" spans="1:53" customFormat="1" ht="12.75" customHeight="1">
      <c r="A204" s="4"/>
      <c r="B204" s="5"/>
      <c r="C204" s="45"/>
      <c r="D204" s="4" t="s">
        <v>147</v>
      </c>
      <c r="E204" s="116"/>
      <c r="F204" s="116"/>
      <c r="G204" s="116"/>
      <c r="H204" s="1681" t="s">
        <v>197</v>
      </c>
      <c r="I204" s="168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68">
        <f>VLOOKUP($H$204,$AO$190:$AP$193,2,FALSE)</f>
        <v>3</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3" t="s">
        <v>1254</v>
      </c>
      <c r="F210" s="1803"/>
      <c r="G210" s="1803"/>
      <c r="H210" s="1803"/>
      <c r="I210" s="1803"/>
      <c r="J210" s="1803"/>
      <c r="K210" s="1803"/>
      <c r="L210" s="1803"/>
      <c r="M210" s="1803"/>
      <c r="N210" s="1803"/>
      <c r="O210" s="1803"/>
      <c r="P210" s="1803"/>
      <c r="Q210" s="1803"/>
      <c r="R210" s="1803"/>
      <c r="S210" s="1803"/>
      <c r="T210" s="1803"/>
      <c r="U210" s="1803"/>
      <c r="V210" s="1803"/>
      <c r="W210" s="1803"/>
      <c r="X210" s="1803"/>
      <c r="Y210" s="1803"/>
      <c r="Z210" s="1803"/>
      <c r="AA210" s="1803"/>
      <c r="AB210" s="1803"/>
      <c r="AC210" s="4"/>
      <c r="AD210" s="4"/>
      <c r="AF210" s="1690" t="s">
        <v>61</v>
      </c>
      <c r="AG210" s="1690"/>
      <c r="AH210" s="1690"/>
      <c r="AI210" s="1690"/>
      <c r="AJ210" s="1690"/>
      <c r="AK210" s="1690"/>
      <c r="AL210" s="1690"/>
      <c r="AM210" s="4"/>
      <c r="AN210" s="204"/>
      <c r="AO210" s="4" t="s">
        <v>124</v>
      </c>
      <c r="AP210" s="472">
        <v>0</v>
      </c>
    </row>
    <row r="211" spans="1:52" customFormat="1" ht="11.85" customHeight="1">
      <c r="A211" s="4"/>
      <c r="B211" s="5"/>
      <c r="C211" s="115"/>
      <c r="D211" s="26"/>
      <c r="E211" s="1803"/>
      <c r="F211" s="1803"/>
      <c r="G211" s="1803"/>
      <c r="H211" s="1803"/>
      <c r="I211" s="1803"/>
      <c r="J211" s="1803"/>
      <c r="K211" s="1803"/>
      <c r="L211" s="1803"/>
      <c r="M211" s="1803"/>
      <c r="N211" s="1803"/>
      <c r="O211" s="1803"/>
      <c r="P211" s="1803"/>
      <c r="Q211" s="1803"/>
      <c r="R211" s="1803"/>
      <c r="S211" s="1803"/>
      <c r="T211" s="1803"/>
      <c r="U211" s="1803"/>
      <c r="V211" s="1803"/>
      <c r="W211" s="1803"/>
      <c r="X211" s="1803"/>
      <c r="Y211" s="1803"/>
      <c r="Z211" s="1803"/>
      <c r="AA211" s="1803"/>
      <c r="AB211" s="1803"/>
      <c r="AC211" s="4"/>
      <c r="AD211" s="4"/>
      <c r="AE211" s="4"/>
      <c r="AM211" s="4"/>
      <c r="AN211" s="204"/>
      <c r="AO211" s="26" t="s">
        <v>581</v>
      </c>
      <c r="AP211" s="4">
        <v>3</v>
      </c>
    </row>
    <row r="212" spans="1:52" customFormat="1" ht="13.95" customHeight="1">
      <c r="A212" s="4"/>
      <c r="B212" s="42"/>
      <c r="C212" s="45"/>
      <c r="D212" s="26"/>
      <c r="E212" s="1803"/>
      <c r="F212" s="1803"/>
      <c r="G212" s="1803"/>
      <c r="H212" s="1803"/>
      <c r="I212" s="1803"/>
      <c r="J212" s="1803"/>
      <c r="K212" s="1803"/>
      <c r="L212" s="1803"/>
      <c r="M212" s="1803"/>
      <c r="N212" s="1803"/>
      <c r="O212" s="1803"/>
      <c r="P212" s="1803"/>
      <c r="Q212" s="1803"/>
      <c r="R212" s="1803"/>
      <c r="S212" s="1803"/>
      <c r="T212" s="1803"/>
      <c r="U212" s="1803"/>
      <c r="V212" s="1803"/>
      <c r="W212" s="1803"/>
      <c r="X212" s="1803"/>
      <c r="Y212" s="1803"/>
      <c r="Z212" s="1803"/>
      <c r="AA212" s="1803"/>
      <c r="AB212" s="1803"/>
      <c r="AC212" s="4"/>
      <c r="AD212" s="4"/>
      <c r="AE212" s="19"/>
      <c r="AM212" s="4"/>
      <c r="AN212" s="204"/>
      <c r="AO212" s="26" t="s">
        <v>197</v>
      </c>
      <c r="AP212" s="4">
        <v>2</v>
      </c>
    </row>
    <row r="213" spans="1:52" customFormat="1" ht="13.95" customHeight="1">
      <c r="A213" s="4"/>
      <c r="B213" s="5"/>
      <c r="C213" s="45"/>
      <c r="D213" s="26" t="s">
        <v>197</v>
      </c>
      <c r="E213" s="1689" t="s">
        <v>1255</v>
      </c>
      <c r="F213" s="1689"/>
      <c r="G213" s="1689"/>
      <c r="H213" s="1689"/>
      <c r="I213" s="1689"/>
      <c r="J213" s="1689"/>
      <c r="K213" s="1689"/>
      <c r="L213" s="1689"/>
      <c r="M213" s="1689"/>
      <c r="N213" s="1689"/>
      <c r="O213" s="1689"/>
      <c r="P213" s="1689"/>
      <c r="Q213" s="1689"/>
      <c r="R213" s="1689"/>
      <c r="S213" s="1689"/>
      <c r="T213" s="1689"/>
      <c r="U213" s="1689"/>
      <c r="V213" s="1689"/>
      <c r="W213" s="1689"/>
      <c r="X213" s="1689"/>
      <c r="Y213" s="1689"/>
      <c r="Z213" s="1689"/>
      <c r="AA213" s="1689"/>
      <c r="AB213" s="1689"/>
      <c r="AC213" s="4"/>
      <c r="AD213" s="4"/>
      <c r="AF213" s="1690" t="s">
        <v>103</v>
      </c>
      <c r="AG213" s="1690"/>
      <c r="AH213" s="1690"/>
      <c r="AI213" s="1690"/>
      <c r="AJ213" s="1690"/>
      <c r="AK213" s="1690"/>
      <c r="AL213" s="1690"/>
      <c r="AM213" s="4"/>
      <c r="AN213" s="673"/>
      <c r="AP213" s="21"/>
    </row>
    <row r="214" spans="1:52" customFormat="1" ht="12.75" customHeight="1">
      <c r="A214" s="4"/>
      <c r="B214" s="5"/>
      <c r="C214" s="115"/>
      <c r="D214" s="4"/>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A214" s="1689"/>
      <c r="AB214" s="1689"/>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89"/>
      <c r="F215" s="1689"/>
      <c r="G215" s="1689"/>
      <c r="H215" s="1689"/>
      <c r="I215" s="1689"/>
      <c r="J215" s="1689"/>
      <c r="K215" s="1689"/>
      <c r="L215" s="1689"/>
      <c r="M215" s="1689"/>
      <c r="N215" s="1689"/>
      <c r="O215" s="1689"/>
      <c r="P215" s="1689"/>
      <c r="Q215" s="1689"/>
      <c r="R215" s="1689"/>
      <c r="S215" s="1689"/>
      <c r="T215" s="1689"/>
      <c r="U215" s="1689"/>
      <c r="V215" s="1689"/>
      <c r="W215" s="1689"/>
      <c r="X215" s="1689"/>
      <c r="Y215" s="1689"/>
      <c r="Z215" s="1689"/>
      <c r="AA215" s="1689"/>
      <c r="AB215" s="1689"/>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1" t="s">
        <v>124</v>
      </c>
      <c r="I216" s="168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4" t="s">
        <v>1490</v>
      </c>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4"/>
      <c r="AD222" s="4"/>
      <c r="AF222" s="1690" t="s">
        <v>61</v>
      </c>
      <c r="AG222" s="1690"/>
      <c r="AH222" s="1690"/>
      <c r="AI222" s="1690"/>
      <c r="AJ222" s="1690"/>
      <c r="AK222" s="1690"/>
      <c r="AL222" s="1690"/>
      <c r="AM222" s="4"/>
      <c r="AN222" s="204"/>
      <c r="AO222" s="38"/>
      <c r="AP222" s="21"/>
      <c r="AT222" s="21"/>
      <c r="AU222" s="21"/>
      <c r="AV222" s="21"/>
      <c r="AW222" s="21"/>
      <c r="AX222" s="21"/>
      <c r="AY222" s="21"/>
      <c r="AZ222" s="21"/>
    </row>
    <row r="223" spans="1:52" customFormat="1">
      <c r="A223" s="4"/>
      <c r="B223" s="5"/>
      <c r="C223" s="115"/>
      <c r="D223" s="26"/>
      <c r="E223" s="1644"/>
      <c r="F223" s="1644"/>
      <c r="G223" s="1644"/>
      <c r="H223" s="1644"/>
      <c r="I223" s="164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4" t="s">
        <v>882</v>
      </c>
      <c r="F225" s="1644"/>
      <c r="G225" s="1644"/>
      <c r="H225" s="1644"/>
      <c r="I225" s="164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4"/>
      <c r="AD225" s="4"/>
      <c r="AF225" s="1690" t="s">
        <v>103</v>
      </c>
      <c r="AG225" s="1690"/>
      <c r="AH225" s="1690"/>
      <c r="AI225" s="1690"/>
      <c r="AJ225" s="1690"/>
      <c r="AK225" s="1690"/>
      <c r="AL225" s="1690"/>
      <c r="AM225" s="4"/>
      <c r="AN225" s="204"/>
      <c r="AO225" s="4" t="s">
        <v>124</v>
      </c>
      <c r="AP225" s="472">
        <v>0</v>
      </c>
      <c r="AT225" s="21"/>
      <c r="AU225" s="21"/>
      <c r="AV225" s="21"/>
      <c r="AW225" s="21"/>
      <c r="AX225" s="21"/>
      <c r="AY225" s="21"/>
      <c r="AZ225" s="21"/>
    </row>
    <row r="226" spans="1:82" customFormat="1">
      <c r="A226" s="4"/>
      <c r="B226" s="5"/>
      <c r="C226" s="115"/>
      <c r="D226" s="4"/>
      <c r="E226" s="1644"/>
      <c r="F226" s="1644"/>
      <c r="G226" s="1644"/>
      <c r="H226" s="1644"/>
      <c r="I226" s="164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1" t="s">
        <v>124</v>
      </c>
      <c r="I228" s="168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4" t="s">
        <v>1123</v>
      </c>
      <c r="F234" s="1644"/>
      <c r="G234" s="1644"/>
      <c r="H234" s="1644"/>
      <c r="I234" s="164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4"/>
      <c r="AD234" s="4"/>
      <c r="AF234" s="1690" t="s">
        <v>61</v>
      </c>
      <c r="AG234" s="1690"/>
      <c r="AH234" s="1690"/>
      <c r="AI234" s="1690"/>
      <c r="AJ234" s="1690"/>
      <c r="AK234" s="1690"/>
      <c r="AL234" s="1690"/>
      <c r="AM234" s="4"/>
      <c r="AN234" s="204"/>
      <c r="AT234" s="21"/>
      <c r="AU234" s="21"/>
      <c r="AV234" s="21"/>
      <c r="AW234" s="21"/>
      <c r="AX234" s="21"/>
      <c r="AY234" s="21"/>
      <c r="AZ234" s="21"/>
    </row>
    <row r="235" spans="1:82" customFormat="1">
      <c r="A235" s="4"/>
      <c r="B235" s="5"/>
      <c r="C235" s="115"/>
      <c r="D235" s="26"/>
      <c r="E235" s="1644"/>
      <c r="F235" s="1644"/>
      <c r="G235" s="1644"/>
      <c r="H235" s="1644"/>
      <c r="I235" s="164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4"/>
      <c r="AD235" s="4"/>
      <c r="AL235" s="4"/>
      <c r="AM235" s="4"/>
      <c r="AN235" s="204"/>
    </row>
    <row r="236" spans="1:82" customFormat="1" ht="12.75" customHeight="1">
      <c r="A236" s="4"/>
      <c r="B236" s="5"/>
      <c r="C236" s="115"/>
      <c r="D236" s="26"/>
      <c r="E236" s="1644"/>
      <c r="F236" s="1644"/>
      <c r="G236" s="1644"/>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4" t="s">
        <v>1124</v>
      </c>
      <c r="F238" s="1644"/>
      <c r="G238" s="1644"/>
      <c r="H238" s="1644"/>
      <c r="I238" s="1644"/>
      <c r="J238" s="1644"/>
      <c r="K238" s="1644"/>
      <c r="L238" s="1644"/>
      <c r="M238" s="1644"/>
      <c r="N238" s="1644"/>
      <c r="O238" s="1644"/>
      <c r="P238" s="1644"/>
      <c r="Q238" s="1644"/>
      <c r="R238" s="1644"/>
      <c r="S238" s="1644"/>
      <c r="T238" s="1644"/>
      <c r="U238" s="1644"/>
      <c r="V238" s="1644"/>
      <c r="W238" s="1644"/>
      <c r="X238" s="1644"/>
      <c r="Y238" s="1644"/>
      <c r="Z238" s="1644"/>
      <c r="AA238" s="1644"/>
      <c r="AB238" s="343"/>
      <c r="AC238" s="4"/>
      <c r="AD238" s="4"/>
      <c r="AF238" s="1690" t="s">
        <v>103</v>
      </c>
      <c r="AG238" s="1690"/>
      <c r="AH238" s="1690"/>
      <c r="AI238" s="1690"/>
      <c r="AJ238" s="1690"/>
      <c r="AK238" s="1690"/>
      <c r="AL238" s="1690"/>
      <c r="AM238" s="4"/>
      <c r="AN238" s="204"/>
      <c r="AO238" s="38"/>
      <c r="AP238" s="21"/>
    </row>
    <row r="239" spans="1:82" customFormat="1">
      <c r="A239" s="4"/>
      <c r="B239" s="5"/>
      <c r="C239" s="45"/>
      <c r="D239" s="4"/>
      <c r="E239" s="1644"/>
      <c r="F239" s="1644"/>
      <c r="G239" s="1644"/>
      <c r="H239" s="1644"/>
      <c r="I239" s="1644"/>
      <c r="J239" s="1644"/>
      <c r="K239" s="1644"/>
      <c r="L239" s="1644"/>
      <c r="M239" s="1644"/>
      <c r="N239" s="1644"/>
      <c r="O239" s="1644"/>
      <c r="P239" s="1644"/>
      <c r="Q239" s="1644"/>
      <c r="R239" s="1644"/>
      <c r="S239" s="1644"/>
      <c r="T239" s="1644"/>
      <c r="U239" s="1644"/>
      <c r="V239" s="1644"/>
      <c r="W239" s="1644"/>
      <c r="X239" s="1644"/>
      <c r="Y239" s="1644"/>
      <c r="Z239" s="1644"/>
      <c r="AA239" s="164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4"/>
      <c r="F240" s="1644"/>
      <c r="G240" s="1644"/>
      <c r="H240" s="1644"/>
      <c r="I240" s="1644"/>
      <c r="J240" s="1644"/>
      <c r="K240" s="1644"/>
      <c r="L240" s="1644"/>
      <c r="M240" s="1644"/>
      <c r="N240" s="1644"/>
      <c r="O240" s="1644"/>
      <c r="P240" s="1644"/>
      <c r="Q240" s="1644"/>
      <c r="R240" s="1644"/>
      <c r="S240" s="1644"/>
      <c r="T240" s="1644"/>
      <c r="U240" s="1644"/>
      <c r="V240" s="1644"/>
      <c r="W240" s="1644"/>
      <c r="X240" s="1644"/>
      <c r="Y240" s="1644"/>
      <c r="Z240" s="1644"/>
      <c r="AA240" s="164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1" t="s">
        <v>124</v>
      </c>
      <c r="I242" s="168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0</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4" t="s">
        <v>317</v>
      </c>
      <c r="F248" s="1644"/>
      <c r="G248" s="1644"/>
      <c r="H248" s="1644"/>
      <c r="I248" s="164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4"/>
      <c r="AD248" s="4"/>
      <c r="AF248" s="1690" t="s">
        <v>103</v>
      </c>
      <c r="AG248" s="1690"/>
      <c r="AH248" s="1690"/>
      <c r="AI248" s="1690"/>
      <c r="AJ248" s="1690"/>
      <c r="AK248" s="1690"/>
      <c r="AL248" s="169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4"/>
      <c r="F249" s="1644"/>
      <c r="G249" s="1644"/>
      <c r="H249" s="1644"/>
      <c r="I249" s="164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4" t="s">
        <v>1256</v>
      </c>
      <c r="F251" s="1644"/>
      <c r="G251" s="1644"/>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4"/>
      <c r="AD251" s="4"/>
      <c r="AF251" s="1690" t="s">
        <v>318</v>
      </c>
      <c r="AG251" s="1690"/>
      <c r="AH251" s="1690"/>
      <c r="AI251" s="1690"/>
      <c r="AJ251" s="1690"/>
      <c r="AK251" s="1690"/>
      <c r="AL251" s="169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4"/>
      <c r="F252" s="1644"/>
      <c r="G252" s="1644"/>
      <c r="H252" s="1644"/>
      <c r="I252" s="164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1" t="s">
        <v>581</v>
      </c>
      <c r="I254" s="168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4" t="s">
        <v>1949</v>
      </c>
      <c r="F260" s="1644"/>
      <c r="G260" s="1644"/>
      <c r="H260" s="1644"/>
      <c r="I260" s="164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F260" s="1690" t="s">
        <v>103</v>
      </c>
      <c r="AG260" s="1690"/>
      <c r="AH260" s="1690"/>
      <c r="AI260" s="1690"/>
      <c r="AJ260" s="1690"/>
      <c r="AK260" s="1690"/>
      <c r="AL260" s="1690"/>
      <c r="AM260" s="104"/>
      <c r="AN260" s="204"/>
      <c r="AO260" s="4" t="s">
        <v>124</v>
      </c>
      <c r="AP260" s="472">
        <v>0</v>
      </c>
    </row>
    <row r="261" spans="1:82" customFormat="1">
      <c r="A261" s="4"/>
      <c r="B261" s="102"/>
      <c r="C261" s="137"/>
      <c r="D261" s="26"/>
      <c r="E261" s="1644"/>
      <c r="F261" s="1644"/>
      <c r="G261" s="1644"/>
      <c r="H261" s="1644"/>
      <c r="I261" s="164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4"/>
      <c r="F262" s="1644"/>
      <c r="G262" s="1644"/>
      <c r="H262" s="1644"/>
      <c r="I262" s="164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0" t="s">
        <v>1950</v>
      </c>
      <c r="F264" s="1680"/>
      <c r="G264" s="1680"/>
      <c r="H264" s="1680"/>
      <c r="I264" s="1680"/>
      <c r="J264" s="1680"/>
      <c r="K264" s="1680"/>
      <c r="L264" s="1680"/>
      <c r="M264" s="1680"/>
      <c r="N264" s="1680"/>
      <c r="O264" s="1680"/>
      <c r="P264" s="1680"/>
      <c r="Q264" s="1680"/>
      <c r="R264" s="1680"/>
      <c r="S264" s="1680"/>
      <c r="T264" s="1680"/>
      <c r="U264" s="1680"/>
      <c r="V264" s="1680"/>
      <c r="W264" s="1680"/>
      <c r="X264" s="1680"/>
      <c r="Y264" s="1680"/>
      <c r="Z264" s="1680"/>
      <c r="AA264" s="1680"/>
      <c r="AB264" s="1680"/>
      <c r="AC264" s="1680"/>
      <c r="AD264" s="1680"/>
      <c r="AF264" s="1690" t="s">
        <v>61</v>
      </c>
      <c r="AG264" s="1690"/>
      <c r="AH264" s="1690"/>
      <c r="AI264" s="1690"/>
      <c r="AJ264" s="1690"/>
      <c r="AK264" s="1690"/>
      <c r="AL264" s="1690"/>
      <c r="AM264" s="104"/>
      <c r="AN264" s="281"/>
    </row>
    <row r="265" spans="1:82" s="4" customFormat="1" ht="12.75" customHeight="1">
      <c r="B265" s="102"/>
      <c r="C265" s="137"/>
      <c r="D265" s="26"/>
      <c r="E265" s="1680"/>
      <c r="F265" s="1680"/>
      <c r="G265" s="1680"/>
      <c r="H265" s="1680"/>
      <c r="I265" s="1680"/>
      <c r="J265" s="1680"/>
      <c r="K265" s="1680"/>
      <c r="L265" s="1680"/>
      <c r="M265" s="1680"/>
      <c r="N265" s="1680"/>
      <c r="O265" s="1680"/>
      <c r="P265" s="1680"/>
      <c r="Q265" s="1680"/>
      <c r="R265" s="1680"/>
      <c r="S265" s="1680"/>
      <c r="T265" s="1680"/>
      <c r="U265" s="1680"/>
      <c r="V265" s="1680"/>
      <c r="W265" s="1680"/>
      <c r="X265" s="1680"/>
      <c r="Y265" s="1680"/>
      <c r="Z265" s="1680"/>
      <c r="AA265" s="1680"/>
      <c r="AB265" s="1680"/>
      <c r="AC265" s="1680"/>
      <c r="AD265" s="1680"/>
      <c r="AE265" s="108"/>
      <c r="AF265" s="108"/>
      <c r="AG265" s="108"/>
      <c r="AH265" s="108"/>
      <c r="AI265" s="108"/>
      <c r="AJ265" s="108"/>
      <c r="AK265" s="108"/>
      <c r="AL265" s="108"/>
      <c r="AM265" s="104"/>
      <c r="AN265" s="281"/>
    </row>
    <row r="266" spans="1:82" s="4" customFormat="1" ht="12.75" customHeight="1">
      <c r="B266" s="102"/>
      <c r="C266" s="137"/>
      <c r="D266" s="26"/>
      <c r="E266" s="1680"/>
      <c r="F266" s="1680"/>
      <c r="G266" s="1680"/>
      <c r="H266" s="1680"/>
      <c r="I266" s="1680"/>
      <c r="J266" s="1680"/>
      <c r="K266" s="1680"/>
      <c r="L266" s="1680"/>
      <c r="M266" s="1680"/>
      <c r="N266" s="1680"/>
      <c r="O266" s="1680"/>
      <c r="P266" s="1680"/>
      <c r="Q266" s="1680"/>
      <c r="R266" s="1680"/>
      <c r="S266" s="1680"/>
      <c r="T266" s="1680"/>
      <c r="U266" s="1680"/>
      <c r="V266" s="1680"/>
      <c r="W266" s="1680"/>
      <c r="X266" s="1680"/>
      <c r="Y266" s="1680"/>
      <c r="Z266" s="1680"/>
      <c r="AA266" s="1680"/>
      <c r="AB266" s="1680"/>
      <c r="AC266" s="1680"/>
      <c r="AD266" s="1680"/>
      <c r="AE266" s="108"/>
      <c r="AF266" s="108"/>
      <c r="AG266" s="108"/>
      <c r="AH266" s="108"/>
      <c r="AI266" s="108"/>
      <c r="AJ266" s="108"/>
      <c r="AK266" s="108"/>
      <c r="AL266" s="108"/>
      <c r="AM266" s="104"/>
      <c r="AN266" s="281"/>
    </row>
    <row r="267" spans="1:82" s="4" customFormat="1" ht="12.75" customHeight="1">
      <c r="B267" s="102"/>
      <c r="C267" s="137"/>
      <c r="D267" s="26"/>
      <c r="E267" s="1680"/>
      <c r="F267" s="1680"/>
      <c r="G267" s="1680"/>
      <c r="H267" s="1680"/>
      <c r="I267" s="1680"/>
      <c r="J267" s="1680"/>
      <c r="K267" s="1680"/>
      <c r="L267" s="1680"/>
      <c r="M267" s="1680"/>
      <c r="N267" s="1680"/>
      <c r="O267" s="1680"/>
      <c r="P267" s="1680"/>
      <c r="Q267" s="1680"/>
      <c r="R267" s="1680"/>
      <c r="S267" s="1680"/>
      <c r="T267" s="1680"/>
      <c r="U267" s="1680"/>
      <c r="V267" s="1680"/>
      <c r="W267" s="1680"/>
      <c r="X267" s="1680"/>
      <c r="Y267" s="1680"/>
      <c r="Z267" s="1680"/>
      <c r="AA267" s="1680"/>
      <c r="AB267" s="1680"/>
      <c r="AC267" s="1680"/>
      <c r="AD267" s="16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1" t="s">
        <v>124</v>
      </c>
      <c r="I269" s="168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44" t="s">
        <v>2209</v>
      </c>
      <c r="F275" s="1644"/>
      <c r="G275" s="1644"/>
      <c r="H275" s="1644"/>
      <c r="I275" s="164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F275" s="1690" t="s">
        <v>1633</v>
      </c>
      <c r="AG275" s="1690"/>
      <c r="AH275" s="1690"/>
      <c r="AI275" s="1690"/>
      <c r="AJ275" s="1690"/>
      <c r="AK275" s="1690"/>
      <c r="AL275" s="1690"/>
      <c r="AM275" s="104"/>
      <c r="AN275" s="204"/>
      <c r="AO275" s="26" t="s">
        <v>108</v>
      </c>
      <c r="AP275" s="4">
        <v>8</v>
      </c>
      <c r="AT275" s="428"/>
      <c r="AU275" s="428"/>
      <c r="AV275" s="428"/>
      <c r="AW275" s="428"/>
      <c r="AX275" s="428"/>
      <c r="AY275" s="428"/>
      <c r="AZ275" s="428"/>
    </row>
    <row r="276" spans="1:82" customFormat="1">
      <c r="A276" s="4"/>
      <c r="B276" s="102"/>
      <c r="C276" s="137"/>
      <c r="D276" s="26"/>
      <c r="E276" s="1644"/>
      <c r="F276" s="1644"/>
      <c r="G276" s="1644"/>
      <c r="H276" s="1644"/>
      <c r="I276" s="164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4"/>
      <c r="F277" s="1644"/>
      <c r="G277" s="1644"/>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1" t="s">
        <v>108</v>
      </c>
      <c r="I279" s="168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8">
        <f>VLOOKUP($H$279,$AO$274:$AP$275,2,FALSE)</f>
        <v>8</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27</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2439</v>
      </c>
      <c r="I287" s="1056"/>
      <c r="J287" s="1056"/>
      <c r="K287" s="1056"/>
      <c r="L287" s="1056"/>
      <c r="M287" s="1056"/>
      <c r="N287" s="1056"/>
      <c r="O287" s="1056"/>
      <c r="P287" s="1056"/>
      <c r="Q287" s="1056"/>
      <c r="R287" s="1056"/>
      <c r="S287"/>
      <c r="T287" s="41" t="s">
        <v>89</v>
      </c>
      <c r="U287"/>
      <c r="V287" s="41"/>
      <c r="W287" s="41"/>
      <c r="X287" s="41"/>
      <c r="Y287" s="41"/>
      <c r="Z287"/>
      <c r="AA287" s="1056" t="s">
        <v>2445</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2440</v>
      </c>
      <c r="I288" s="1054"/>
      <c r="J288" s="1054"/>
      <c r="K288" s="1054"/>
      <c r="L288" s="1054"/>
      <c r="M288" s="1054"/>
      <c r="N288" s="1054"/>
      <c r="O288" s="1054"/>
      <c r="P288" s="1054"/>
      <c r="Q288" s="1054"/>
      <c r="R288" s="1054"/>
      <c r="S288"/>
      <c r="T288" s="41" t="s">
        <v>699</v>
      </c>
      <c r="U288"/>
      <c r="V288" s="41"/>
      <c r="W288" s="41"/>
      <c r="X288" s="41"/>
      <c r="Y288" s="41"/>
      <c r="Z288"/>
      <c r="AA288" s="1054" t="s">
        <v>2446</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2441</v>
      </c>
      <c r="I289" s="1054"/>
      <c r="J289" s="1054"/>
      <c r="K289" s="1054"/>
      <c r="L289" s="1054"/>
      <c r="M289" s="1054"/>
      <c r="N289" s="1054"/>
      <c r="O289" s="1054"/>
      <c r="P289" s="1054"/>
      <c r="Q289" s="1054"/>
      <c r="R289" s="1054"/>
      <c r="S289"/>
      <c r="T289" s="41" t="s">
        <v>99</v>
      </c>
      <c r="U289"/>
      <c r="V289" s="41"/>
      <c r="W289" s="41"/>
      <c r="X289" s="41"/>
      <c r="Y289" s="41"/>
      <c r="Z289"/>
      <c r="AA289" s="1054" t="s">
        <v>2447</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2442</v>
      </c>
      <c r="I290" s="1054"/>
      <c r="J290" s="1054"/>
      <c r="K290" s="1054"/>
      <c r="L290" s="1054"/>
      <c r="M290" s="1054"/>
      <c r="N290" s="1054"/>
      <c r="O290" s="1054"/>
      <c r="P290" s="1054"/>
      <c r="Q290" s="1054"/>
      <c r="R290" s="1054"/>
      <c r="S290"/>
      <c r="T290" s="41" t="s">
        <v>374</v>
      </c>
      <c r="U290"/>
      <c r="V290" s="41"/>
      <c r="W290" s="41"/>
      <c r="X290" s="41"/>
      <c r="Y290" s="41"/>
      <c r="Z290"/>
      <c r="AA290" s="1054" t="s">
        <v>2448</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2443</v>
      </c>
      <c r="I291" s="1057"/>
      <c r="J291" s="1057"/>
      <c r="K291" s="1057"/>
      <c r="L291" s="1057"/>
      <c r="M291" s="1057"/>
      <c r="N291" s="5" t="s">
        <v>818</v>
      </c>
      <c r="O291" s="5"/>
      <c r="P291" s="1053"/>
      <c r="Q291" s="1053"/>
      <c r="R291" s="1053"/>
      <c r="S291" s="41"/>
      <c r="T291" s="41" t="s">
        <v>375</v>
      </c>
      <c r="U291"/>
      <c r="V291" s="41"/>
      <c r="W291" s="41"/>
      <c r="X291" s="41"/>
      <c r="Y291" s="41"/>
      <c r="Z291"/>
      <c r="AA291" s="1057" t="s">
        <v>2449</v>
      </c>
      <c r="AB291" s="1057"/>
      <c r="AC291" s="1057"/>
      <c r="AD291" s="1057"/>
      <c r="AE291" s="1057"/>
      <c r="AF291" s="1057"/>
      <c r="AG291" s="5" t="s">
        <v>818</v>
      </c>
      <c r="AH291" s="5"/>
      <c r="AI291" s="1053"/>
      <c r="AJ291" s="1053"/>
      <c r="AK291" s="1053"/>
      <c r="AL291" s="10"/>
      <c r="AN291" s="281"/>
      <c r="AO291" s="211"/>
      <c r="AP291" t="s">
        <v>2316</v>
      </c>
    </row>
    <row r="292" spans="1:42" s="4" customFormat="1" ht="12.75" customHeight="1">
      <c r="B292" s="41" t="s">
        <v>88</v>
      </c>
      <c r="C292" s="41"/>
      <c r="D292" s="41"/>
      <c r="E292" s="41"/>
      <c r="F292" s="41"/>
      <c r="G292" s="41"/>
      <c r="H292" s="1054" t="s">
        <v>347</v>
      </c>
      <c r="I292" s="1054"/>
      <c r="J292" s="1054"/>
      <c r="K292" s="1054"/>
      <c r="L292" s="1054"/>
      <c r="M292" s="1054"/>
      <c r="N292" s="1054"/>
      <c r="O292" s="1054"/>
      <c r="P292" s="1054"/>
      <c r="Q292" s="1054"/>
      <c r="R292" s="1054"/>
      <c r="S292" s="41"/>
      <c r="T292" s="41" t="s">
        <v>88</v>
      </c>
      <c r="U292"/>
      <c r="V292" s="41"/>
      <c r="W292" s="41"/>
      <c r="X292" s="41"/>
      <c r="Y292" s="41"/>
      <c r="Z292"/>
      <c r="AA292" s="1054" t="s">
        <v>91</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t="s">
        <v>2444</v>
      </c>
      <c r="I293" s="1054"/>
      <c r="J293" s="1054"/>
      <c r="K293" s="1054"/>
      <c r="L293" s="1054"/>
      <c r="M293" s="1054"/>
      <c r="N293" s="1054"/>
      <c r="O293" s="1054"/>
      <c r="P293" s="1054"/>
      <c r="Q293" s="1054"/>
      <c r="R293" s="1054"/>
      <c r="S293" s="41"/>
      <c r="T293" s="41" t="s">
        <v>90</v>
      </c>
      <c r="U293"/>
      <c r="V293" s="41"/>
      <c r="W293" s="41"/>
      <c r="X293" s="41"/>
      <c r="Y293" s="41"/>
      <c r="Z293"/>
      <c r="AA293" s="1054" t="s">
        <v>2450</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58">
        <v>0.42</v>
      </c>
      <c r="I294" s="1858"/>
      <c r="J294" s="1858"/>
      <c r="K294" s="1858"/>
      <c r="L294" s="1858"/>
      <c r="M294" s="1858"/>
      <c r="N294" s="1858"/>
      <c r="O294" s="1858"/>
      <c r="P294" s="1858"/>
      <c r="Q294" s="1858"/>
      <c r="R294" s="1858"/>
      <c r="S294" s="41"/>
      <c r="T294" s="41" t="s">
        <v>101</v>
      </c>
      <c r="U294" s="41"/>
      <c r="V294" s="41"/>
      <c r="W294" s="41"/>
      <c r="X294" s="41"/>
      <c r="Y294" s="41"/>
      <c r="Z294" s="12"/>
      <c r="AA294" s="1858">
        <v>6.8000000000000005E-2</v>
      </c>
      <c r="AB294" s="1858"/>
      <c r="AC294" s="1858"/>
      <c r="AD294" s="1858"/>
      <c r="AE294" s="1858"/>
      <c r="AF294" s="1858"/>
      <c r="AG294" s="1858"/>
      <c r="AH294" s="1858"/>
      <c r="AI294" s="1858"/>
      <c r="AJ294" s="1858"/>
      <c r="AK294" s="1858"/>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2451</v>
      </c>
      <c r="I296" s="1056"/>
      <c r="J296" s="1056"/>
      <c r="K296" s="1056"/>
      <c r="L296" s="1056"/>
      <c r="M296" s="1056"/>
      <c r="N296" s="1056"/>
      <c r="O296" s="1056"/>
      <c r="P296" s="1056"/>
      <c r="Q296" s="1056"/>
      <c r="R296" s="1056"/>
      <c r="S296"/>
      <c r="T296" s="41" t="s">
        <v>89</v>
      </c>
      <c r="U296"/>
      <c r="V296" s="41"/>
      <c r="W296" s="41"/>
      <c r="X296" s="41"/>
      <c r="Y296" s="41"/>
      <c r="Z296"/>
      <c r="AA296" s="1056" t="s">
        <v>2455</v>
      </c>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699</v>
      </c>
      <c r="C297" s="41"/>
      <c r="D297" s="41"/>
      <c r="E297" s="41"/>
      <c r="F297" s="41"/>
      <c r="G297"/>
      <c r="H297" s="1054" t="s">
        <v>2452</v>
      </c>
      <c r="I297" s="1054"/>
      <c r="J297" s="1054"/>
      <c r="K297" s="1054"/>
      <c r="L297" s="1054"/>
      <c r="M297" s="1054"/>
      <c r="N297" s="1054"/>
      <c r="O297" s="1054"/>
      <c r="P297" s="1054"/>
      <c r="Q297" s="1054"/>
      <c r="R297" s="1054"/>
      <c r="S297"/>
      <c r="T297" s="41" t="s">
        <v>699</v>
      </c>
      <c r="U297"/>
      <c r="V297" s="41"/>
      <c r="W297" s="41"/>
      <c r="X297" s="41"/>
      <c r="Y297" s="41"/>
      <c r="Z297"/>
      <c r="AA297" s="1054" t="s">
        <v>2456</v>
      </c>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2441</v>
      </c>
      <c r="I298" s="1054"/>
      <c r="J298" s="1054"/>
      <c r="K298" s="1054"/>
      <c r="L298" s="1054"/>
      <c r="M298" s="1054"/>
      <c r="N298" s="1054"/>
      <c r="O298" s="1054"/>
      <c r="P298" s="1054"/>
      <c r="Q298" s="1054"/>
      <c r="R298" s="1054"/>
      <c r="S298"/>
      <c r="T298" s="41" t="s">
        <v>99</v>
      </c>
      <c r="U298"/>
      <c r="V298" s="41"/>
      <c r="W298" s="41"/>
      <c r="X298" s="41"/>
      <c r="Y298" s="41"/>
      <c r="Z298"/>
      <c r="AA298" s="1054" t="s">
        <v>2441</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2442</v>
      </c>
      <c r="I299" s="1054"/>
      <c r="J299" s="1054"/>
      <c r="K299" s="1054"/>
      <c r="L299" s="1054"/>
      <c r="M299" s="1054"/>
      <c r="N299" s="1054"/>
      <c r="O299" s="1054"/>
      <c r="P299" s="1054"/>
      <c r="Q299" s="1054"/>
      <c r="R299" s="1054"/>
      <c r="S299"/>
      <c r="T299" s="41" t="s">
        <v>374</v>
      </c>
      <c r="U299"/>
      <c r="V299" s="41"/>
      <c r="W299" s="41"/>
      <c r="X299" s="41"/>
      <c r="Y299" s="41"/>
      <c r="Z299"/>
      <c r="AA299" s="1054" t="s">
        <v>2457</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2453</v>
      </c>
      <c r="I300" s="1057"/>
      <c r="J300" s="1057"/>
      <c r="K300" s="1057"/>
      <c r="L300" s="1057"/>
      <c r="M300" s="1057"/>
      <c r="N300" s="5" t="s">
        <v>818</v>
      </c>
      <c r="O300" s="5"/>
      <c r="P300" s="1053"/>
      <c r="Q300" s="1053"/>
      <c r="R300" s="1053"/>
      <c r="S300" s="41"/>
      <c r="T300" s="41" t="s">
        <v>375</v>
      </c>
      <c r="U300"/>
      <c r="V300" s="41"/>
      <c r="W300" s="41"/>
      <c r="X300" s="41"/>
      <c r="Y300" s="41"/>
      <c r="Z300"/>
      <c r="AA300" s="1057" t="s">
        <v>2458</v>
      </c>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92</v>
      </c>
      <c r="I301" s="1054"/>
      <c r="J301" s="1054"/>
      <c r="K301" s="1054"/>
      <c r="L301" s="1054"/>
      <c r="M301" s="1054"/>
      <c r="N301" s="1054"/>
      <c r="O301" s="1054"/>
      <c r="P301" s="1054"/>
      <c r="Q301" s="1054"/>
      <c r="R301" s="1054"/>
      <c r="S301" s="41"/>
      <c r="T301" s="41" t="s">
        <v>88</v>
      </c>
      <c r="U301"/>
      <c r="V301" s="41"/>
      <c r="W301" s="41"/>
      <c r="X301" s="41"/>
      <c r="Y301" s="41"/>
      <c r="Z301"/>
      <c r="AA301" s="1054" t="s">
        <v>93</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2454</v>
      </c>
      <c r="I302" s="1054"/>
      <c r="J302" s="1054"/>
      <c r="K302" s="1054"/>
      <c r="L302" s="1054"/>
      <c r="M302" s="1054"/>
      <c r="N302" s="1054"/>
      <c r="O302" s="1054"/>
      <c r="P302" s="1054"/>
      <c r="Q302" s="1054"/>
      <c r="R302" s="1054"/>
      <c r="S302" s="41"/>
      <c r="T302" s="41" t="s">
        <v>90</v>
      </c>
      <c r="U302"/>
      <c r="V302" s="41"/>
      <c r="W302" s="41"/>
      <c r="X302" s="41"/>
      <c r="Y302" s="41"/>
      <c r="Z302"/>
      <c r="AA302" s="1054" t="s">
        <v>2459</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8">
        <v>0.9</v>
      </c>
      <c r="I303" s="1858"/>
      <c r="J303" s="1858"/>
      <c r="K303" s="1858"/>
      <c r="L303" s="1858"/>
      <c r="M303" s="1858"/>
      <c r="N303" s="1858"/>
      <c r="O303" s="1858"/>
      <c r="P303" s="1858"/>
      <c r="Q303" s="1858"/>
      <c r="R303" s="1858"/>
      <c r="S303" s="41"/>
      <c r="T303" s="41" t="s">
        <v>101</v>
      </c>
      <c r="U303" s="41"/>
      <c r="V303" s="41"/>
      <c r="W303" s="41"/>
      <c r="X303" s="41"/>
      <c r="Y303" s="41"/>
      <c r="Z303" s="12"/>
      <c r="AA303" s="1858">
        <v>1.0900000000000001</v>
      </c>
      <c r="AB303" s="1858"/>
      <c r="AC303" s="1858"/>
      <c r="AD303" s="1858"/>
      <c r="AE303" s="1858"/>
      <c r="AF303" s="1858"/>
      <c r="AG303" s="1858"/>
      <c r="AH303" s="1858"/>
      <c r="AI303" s="1858"/>
      <c r="AJ303" s="1858"/>
      <c r="AK303" s="185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2460</v>
      </c>
      <c r="I305" s="1056"/>
      <c r="J305" s="1056"/>
      <c r="K305" s="1056"/>
      <c r="L305" s="1056"/>
      <c r="M305" s="1056"/>
      <c r="N305" s="1056"/>
      <c r="O305" s="1056"/>
      <c r="P305" s="1056"/>
      <c r="Q305" s="1056"/>
      <c r="R305" s="1056"/>
      <c r="S305"/>
      <c r="T305" s="41" t="s">
        <v>89</v>
      </c>
      <c r="U305"/>
      <c r="V305" s="41"/>
      <c r="W305" s="41"/>
      <c r="X305" s="41"/>
      <c r="Y305" s="41"/>
      <c r="Z305"/>
      <c r="AA305" s="1056" t="s">
        <v>2465</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2461</v>
      </c>
      <c r="I306" s="1054"/>
      <c r="J306" s="1054"/>
      <c r="K306" s="1054"/>
      <c r="L306" s="1054"/>
      <c r="M306" s="1054"/>
      <c r="N306" s="1054"/>
      <c r="O306" s="1054"/>
      <c r="P306" s="1054"/>
      <c r="Q306" s="1054"/>
      <c r="R306" s="1054"/>
      <c r="S306"/>
      <c r="T306" s="41" t="s">
        <v>699</v>
      </c>
      <c r="U306"/>
      <c r="V306" s="41"/>
      <c r="W306" s="41"/>
      <c r="X306" s="41"/>
      <c r="Y306" s="41"/>
      <c r="Z306"/>
      <c r="AA306" s="1054" t="s">
        <v>2466</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2441</v>
      </c>
      <c r="I307" s="1054"/>
      <c r="J307" s="1054"/>
      <c r="K307" s="1054"/>
      <c r="L307" s="1054"/>
      <c r="M307" s="1054"/>
      <c r="N307" s="1054"/>
      <c r="O307" s="1054"/>
      <c r="P307" s="1054"/>
      <c r="Q307" s="1054"/>
      <c r="R307" s="1054"/>
      <c r="S307"/>
      <c r="T307" s="41" t="s">
        <v>99</v>
      </c>
      <c r="U307"/>
      <c r="V307" s="41"/>
      <c r="W307" s="41"/>
      <c r="X307" s="41"/>
      <c r="Y307" s="41"/>
      <c r="Z307"/>
      <c r="AA307" s="1054" t="s">
        <v>2441</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2462</v>
      </c>
      <c r="I308" s="1054"/>
      <c r="J308" s="1054"/>
      <c r="K308" s="1054"/>
      <c r="L308" s="1054"/>
      <c r="M308" s="1054"/>
      <c r="N308" s="1054"/>
      <c r="O308" s="1054"/>
      <c r="P308" s="1054"/>
      <c r="Q308" s="1054"/>
      <c r="R308" s="1054"/>
      <c r="S308"/>
      <c r="T308" s="41" t="s">
        <v>374</v>
      </c>
      <c r="U308"/>
      <c r="V308" s="41"/>
      <c r="W308" s="41"/>
      <c r="X308" s="41"/>
      <c r="Y308" s="41"/>
      <c r="Z308"/>
      <c r="AA308" s="1054" t="s">
        <v>2457</v>
      </c>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2463</v>
      </c>
      <c r="I309" s="1057"/>
      <c r="J309" s="1057"/>
      <c r="K309" s="1057"/>
      <c r="L309" s="1057"/>
      <c r="M309" s="1057"/>
      <c r="N309" s="5" t="s">
        <v>818</v>
      </c>
      <c r="O309" s="5"/>
      <c r="P309" s="1053"/>
      <c r="Q309" s="1053"/>
      <c r="R309" s="1053"/>
      <c r="S309" s="41"/>
      <c r="T309" s="41" t="s">
        <v>375</v>
      </c>
      <c r="U309"/>
      <c r="V309" s="41"/>
      <c r="W309" s="41"/>
      <c r="X309" s="41"/>
      <c r="Y309" s="41"/>
      <c r="Z309"/>
      <c r="AA309" s="1057" t="s">
        <v>2467</v>
      </c>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100</v>
      </c>
      <c r="I310" s="1054"/>
      <c r="J310" s="1054"/>
      <c r="K310" s="1054"/>
      <c r="L310" s="1054"/>
      <c r="M310" s="1054"/>
      <c r="N310" s="1054"/>
      <c r="O310" s="1054"/>
      <c r="P310" s="1054"/>
      <c r="Q310" s="1054"/>
      <c r="R310" s="1054"/>
      <c r="S310" s="41"/>
      <c r="T310" s="41" t="s">
        <v>88</v>
      </c>
      <c r="U310"/>
      <c r="V310" s="41"/>
      <c r="W310" s="41"/>
      <c r="X310" s="41"/>
      <c r="Y310" s="41"/>
      <c r="Z310"/>
      <c r="AA310" s="1054" t="s">
        <v>96</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2464</v>
      </c>
      <c r="I311" s="1054"/>
      <c r="J311" s="1054"/>
      <c r="K311" s="1054"/>
      <c r="L311" s="1054"/>
      <c r="M311" s="1054"/>
      <c r="N311" s="1054"/>
      <c r="O311" s="1054"/>
      <c r="P311" s="1054"/>
      <c r="Q311" s="1054"/>
      <c r="R311" s="1054"/>
      <c r="S311" s="41"/>
      <c r="T311" s="41" t="s">
        <v>90</v>
      </c>
      <c r="U311"/>
      <c r="V311" s="41"/>
      <c r="W311" s="41"/>
      <c r="X311" s="41"/>
      <c r="Y311" s="41"/>
      <c r="Z311"/>
      <c r="AA311" s="1054" t="s">
        <v>2468</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8">
        <v>0.74</v>
      </c>
      <c r="I312" s="1858"/>
      <c r="J312" s="1858"/>
      <c r="K312" s="1858"/>
      <c r="L312" s="1858"/>
      <c r="M312" s="1858"/>
      <c r="N312" s="1858"/>
      <c r="O312" s="1858"/>
      <c r="P312" s="1858"/>
      <c r="Q312" s="1858"/>
      <c r="R312" s="1858"/>
      <c r="S312" s="41"/>
      <c r="T312" s="41" t="s">
        <v>101</v>
      </c>
      <c r="U312" s="41"/>
      <c r="V312" s="41"/>
      <c r="W312" s="41"/>
      <c r="X312" s="41"/>
      <c r="Y312" s="41"/>
      <c r="Z312" s="12"/>
      <c r="AA312" s="1858">
        <v>0.91</v>
      </c>
      <c r="AB312" s="1858"/>
      <c r="AC312" s="1858"/>
      <c r="AD312" s="1858"/>
      <c r="AE312" s="1858"/>
      <c r="AF312" s="1858"/>
      <c r="AG312" s="1858"/>
      <c r="AH312" s="1858"/>
      <c r="AI312" s="1858"/>
      <c r="AJ312" s="1858"/>
      <c r="AK312" s="185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8"/>
      <c r="I321" s="1858"/>
      <c r="J321" s="1858"/>
      <c r="K321" s="1858"/>
      <c r="L321" s="1858"/>
      <c r="M321" s="1858"/>
      <c r="N321" s="1858"/>
      <c r="O321" s="1858"/>
      <c r="P321" s="1858"/>
      <c r="Q321" s="1858"/>
      <c r="R321" s="1858"/>
      <c r="S321" s="41"/>
      <c r="T321" s="41" t="s">
        <v>101</v>
      </c>
      <c r="U321" s="41"/>
      <c r="V321" s="41"/>
      <c r="W321" s="41"/>
      <c r="X321" s="41"/>
      <c r="Y321" s="41"/>
      <c r="Z321" s="12"/>
      <c r="AA321" s="1858"/>
      <c r="AB321" s="1858"/>
      <c r="AC321" s="1858"/>
      <c r="AD321" s="1858"/>
      <c r="AE321" s="1858"/>
      <c r="AF321" s="1858"/>
      <c r="AG321" s="1858"/>
      <c r="AH321" s="1858"/>
      <c r="AI321" s="1858"/>
      <c r="AJ321" s="1858"/>
      <c r="AK321" s="185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8"/>
      <c r="I330" s="1858"/>
      <c r="J330" s="1858"/>
      <c r="K330" s="1858"/>
      <c r="L330" s="1858"/>
      <c r="M330" s="1858"/>
      <c r="N330" s="1858"/>
      <c r="O330" s="1858"/>
      <c r="P330" s="1858"/>
      <c r="Q330" s="1858"/>
      <c r="R330" s="1858"/>
      <c r="S330" s="41"/>
      <c r="T330" s="41" t="s">
        <v>101</v>
      </c>
      <c r="U330" s="41"/>
      <c r="V330" s="41"/>
      <c r="W330" s="41"/>
      <c r="X330" s="41"/>
      <c r="Y330" s="41"/>
      <c r="Z330" s="12"/>
      <c r="AA330" s="1858"/>
      <c r="AB330" s="1858"/>
      <c r="AC330" s="1858"/>
      <c r="AD330" s="1858"/>
      <c r="AE330" s="1858"/>
      <c r="AF330" s="1858"/>
      <c r="AG330" s="1858"/>
      <c r="AH330" s="1858"/>
      <c r="AI330" s="1858"/>
      <c r="AJ330" s="1858"/>
      <c r="AK330" s="185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2" t="s">
        <v>364</v>
      </c>
      <c r="AF333" s="1682"/>
      <c r="AG333" s="1682"/>
      <c r="AH333" s="1682"/>
      <c r="AI333" s="1682"/>
      <c r="AJ333" s="1682"/>
      <c r="AK333" s="1682"/>
      <c r="AL333" s="3"/>
      <c r="AM333" s="826"/>
      <c r="AN333" s="3"/>
    </row>
    <row r="334" spans="1:76" s="4" customFormat="1" ht="12.75" customHeight="1">
      <c r="A334" s="3"/>
      <c r="B334" s="5"/>
      <c r="C334" s="1857" t="s">
        <v>1838</v>
      </c>
      <c r="D334" s="1857"/>
      <c r="E334" s="1857"/>
      <c r="F334" s="1857"/>
      <c r="G334" s="1857"/>
      <c r="H334" s="1857"/>
      <c r="I334" s="1857"/>
      <c r="J334" s="1857"/>
      <c r="K334" s="1857"/>
      <c r="L334" s="1857"/>
      <c r="M334" s="1857"/>
      <c r="N334" s="1857"/>
      <c r="O334" s="1857"/>
      <c r="P334" s="1857"/>
      <c r="Q334" s="1857"/>
      <c r="R334" s="1857"/>
      <c r="S334" s="1857"/>
      <c r="T334" s="1857"/>
      <c r="U334" s="1857"/>
      <c r="V334" s="1857"/>
      <c r="W334" s="1857"/>
      <c r="X334" s="1857"/>
      <c r="Y334" s="1857"/>
      <c r="Z334" s="1857"/>
      <c r="AA334" s="1857"/>
      <c r="AB334" s="1857"/>
      <c r="AC334" s="1857"/>
      <c r="AD334" s="1857"/>
      <c r="AE334" s="1857"/>
      <c r="AF334" s="1857"/>
      <c r="AG334" s="1857"/>
      <c r="AH334" s="1857"/>
      <c r="AI334" s="1857"/>
      <c r="AJ334" s="1857"/>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7"/>
      <c r="D335" s="1857"/>
      <c r="E335" s="1857"/>
      <c r="F335" s="1857"/>
      <c r="G335" s="1857"/>
      <c r="H335" s="1857"/>
      <c r="I335" s="1857"/>
      <c r="J335" s="1857"/>
      <c r="K335" s="1857"/>
      <c r="L335" s="1857"/>
      <c r="M335" s="1857"/>
      <c r="N335" s="1857"/>
      <c r="O335" s="1857"/>
      <c r="P335" s="1857"/>
      <c r="Q335" s="1857"/>
      <c r="R335" s="1857"/>
      <c r="S335" s="1857"/>
      <c r="T335" s="1857"/>
      <c r="U335" s="1857"/>
      <c r="V335" s="1857"/>
      <c r="W335" s="1857"/>
      <c r="X335" s="1857"/>
      <c r="Y335" s="1857"/>
      <c r="Z335" s="1857"/>
      <c r="AA335" s="1857"/>
      <c r="AB335" s="1857"/>
      <c r="AC335" s="1857"/>
      <c r="AD335" s="1857"/>
      <c r="AE335" s="1857"/>
      <c r="AF335" s="1857"/>
      <c r="AG335" s="1857"/>
      <c r="AH335" s="1857"/>
      <c r="AI335" s="1857"/>
      <c r="AJ335" s="1857"/>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7"/>
      <c r="D336" s="1857"/>
      <c r="E336" s="1857"/>
      <c r="F336" s="1857"/>
      <c r="G336" s="1857"/>
      <c r="H336" s="1857"/>
      <c r="I336" s="1857"/>
      <c r="J336" s="1857"/>
      <c r="K336" s="1857"/>
      <c r="L336" s="1857"/>
      <c r="M336" s="1857"/>
      <c r="N336" s="1857"/>
      <c r="O336" s="1857"/>
      <c r="P336" s="1857"/>
      <c r="Q336" s="1857"/>
      <c r="R336" s="1857"/>
      <c r="S336" s="1857"/>
      <c r="T336" s="1857"/>
      <c r="U336" s="1857"/>
      <c r="V336" s="1857"/>
      <c r="W336" s="1857"/>
      <c r="X336" s="1857"/>
      <c r="Y336" s="1857"/>
      <c r="Z336" s="1857"/>
      <c r="AA336" s="1857"/>
      <c r="AB336" s="1857"/>
      <c r="AC336" s="1857"/>
      <c r="AD336" s="1857"/>
      <c r="AE336" s="1857"/>
      <c r="AF336" s="1857"/>
      <c r="AG336" s="1857"/>
      <c r="AH336" s="1857"/>
      <c r="AI336" s="1857"/>
      <c r="AJ336" s="1857"/>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7"/>
      <c r="D337" s="1857"/>
      <c r="E337" s="1857"/>
      <c r="F337" s="1857"/>
      <c r="G337" s="1857"/>
      <c r="H337" s="1857"/>
      <c r="I337" s="1857"/>
      <c r="J337" s="1857"/>
      <c r="K337" s="1857"/>
      <c r="L337" s="1857"/>
      <c r="M337" s="1857"/>
      <c r="N337" s="1857"/>
      <c r="O337" s="1857"/>
      <c r="P337" s="1857"/>
      <c r="Q337" s="1857"/>
      <c r="R337" s="1857"/>
      <c r="S337" s="1857"/>
      <c r="T337" s="1857"/>
      <c r="U337" s="1857"/>
      <c r="V337" s="1857"/>
      <c r="W337" s="1857"/>
      <c r="X337" s="1857"/>
      <c r="Y337" s="1857"/>
      <c r="Z337" s="1857"/>
      <c r="AA337" s="1857"/>
      <c r="AB337" s="1857"/>
      <c r="AC337" s="1857"/>
      <c r="AD337" s="1857"/>
      <c r="AE337" s="1857"/>
      <c r="AF337" s="1857"/>
      <c r="AG337" s="1857"/>
      <c r="AH337" s="1857"/>
      <c r="AI337" s="1857"/>
      <c r="AJ337" s="1857"/>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7"/>
      <c r="D338" s="1857"/>
      <c r="E338" s="1857"/>
      <c r="F338" s="1857"/>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7"/>
      <c r="D339" s="1857"/>
      <c r="E339" s="1857"/>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7"/>
      <c r="D340" s="1857"/>
      <c r="E340" s="1857"/>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7"/>
      <c r="D341" s="1857"/>
      <c r="E341" s="1857"/>
      <c r="F341" s="1857"/>
      <c r="G341" s="1857"/>
      <c r="H341" s="1857"/>
      <c r="I341" s="1857"/>
      <c r="J341" s="1857"/>
      <c r="K341" s="1857"/>
      <c r="L341" s="1857"/>
      <c r="M341" s="1857"/>
      <c r="N341" s="1857"/>
      <c r="O341" s="1857"/>
      <c r="P341" s="1857"/>
      <c r="Q341" s="1857"/>
      <c r="R341" s="1857"/>
      <c r="S341" s="1857"/>
      <c r="T341" s="1857"/>
      <c r="U341" s="1857"/>
      <c r="V341" s="1857"/>
      <c r="W341" s="1857"/>
      <c r="X341" s="1857"/>
      <c r="Y341" s="1857"/>
      <c r="Z341" s="1857"/>
      <c r="AA341" s="1857"/>
      <c r="AB341" s="1857"/>
      <c r="AC341" s="1857"/>
      <c r="AD341" s="1857"/>
      <c r="AE341" s="1857"/>
      <c r="AF341" s="1857"/>
      <c r="AG341" s="1857"/>
      <c r="AH341" s="1857"/>
      <c r="AI341" s="1857"/>
      <c r="AJ341" s="1857"/>
      <c r="AK341" s="27"/>
      <c r="AL341" s="27"/>
      <c r="AM341" s="27"/>
      <c r="AN341" s="281"/>
      <c r="AO341" s="185"/>
    </row>
    <row r="342" spans="1:76" s="4" customFormat="1" ht="12.75" customHeight="1">
      <c r="A342" s="27"/>
      <c r="B342" s="26"/>
      <c r="C342" s="1857" t="s">
        <v>1839</v>
      </c>
      <c r="D342" s="1857"/>
      <c r="E342" s="1857"/>
      <c r="F342" s="1857"/>
      <c r="G342" s="1857"/>
      <c r="H342" s="1857"/>
      <c r="I342" s="1857"/>
      <c r="J342" s="1857"/>
      <c r="K342" s="1857"/>
      <c r="L342" s="1857"/>
      <c r="M342" s="1857"/>
      <c r="N342" s="1857"/>
      <c r="O342" s="1857"/>
      <c r="P342" s="1857"/>
      <c r="Q342" s="1857"/>
      <c r="R342" s="1857"/>
      <c r="S342" s="1857"/>
      <c r="T342" s="1857"/>
      <c r="U342" s="1857"/>
      <c r="V342" s="1857"/>
      <c r="W342" s="1857"/>
      <c r="X342" s="1857"/>
      <c r="Y342" s="1857"/>
      <c r="Z342" s="1857"/>
      <c r="AA342" s="1857"/>
      <c r="AB342" s="1857"/>
      <c r="AC342" s="1857"/>
      <c r="AD342" s="1857"/>
      <c r="AE342" s="1857"/>
      <c r="AF342" s="1857"/>
      <c r="AG342" s="1857"/>
      <c r="AH342" s="1857"/>
      <c r="AI342" s="1857"/>
      <c r="AJ342" s="1857"/>
      <c r="AK342" s="27"/>
      <c r="AL342" s="27"/>
      <c r="AM342" s="27"/>
      <c r="AN342" s="281"/>
    </row>
    <row r="343" spans="1:76" s="4" customFormat="1" ht="12.75" customHeight="1">
      <c r="A343" s="27"/>
      <c r="B343" s="26"/>
      <c r="C343" s="1857"/>
      <c r="D343" s="1857"/>
      <c r="E343" s="1857"/>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27"/>
      <c r="AL343" s="27"/>
      <c r="AM343" s="27"/>
      <c r="AN343" s="281"/>
    </row>
    <row r="344" spans="1:76" s="4" customFormat="1" ht="12.75" customHeight="1">
      <c r="A344" s="27"/>
      <c r="B344" s="26"/>
      <c r="C344" s="1857"/>
      <c r="D344" s="1857"/>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27"/>
      <c r="AL344" s="27"/>
      <c r="AM344" s="27"/>
      <c r="AN344" s="281"/>
      <c r="AQ344"/>
    </row>
    <row r="345" spans="1:76" s="4" customFormat="1" ht="12.75" customHeight="1">
      <c r="A345" s="27"/>
      <c r="B345" s="26"/>
      <c r="C345" s="1857"/>
      <c r="D345" s="1857"/>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27"/>
      <c r="AL345" s="27"/>
      <c r="AM345" s="27"/>
      <c r="AN345" s="281"/>
      <c r="AQ345"/>
    </row>
    <row r="346" spans="1:76" s="4" customFormat="1" ht="12.45" customHeight="1">
      <c r="A346" s="27"/>
      <c r="B346" s="26"/>
      <c r="C346" s="1857"/>
      <c r="D346" s="1857"/>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27"/>
      <c r="AL346" s="27"/>
      <c r="AM346" s="27"/>
      <c r="AN346" s="281"/>
      <c r="AQ346"/>
      <c r="AR346"/>
    </row>
    <row r="347" spans="1:76" s="4" customFormat="1" ht="12.75" customHeight="1">
      <c r="A347" s="27"/>
      <c r="B347" s="26"/>
      <c r="C347" s="1857" t="s">
        <v>2293</v>
      </c>
      <c r="D347" s="1857"/>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27"/>
      <c r="AL347" s="27"/>
      <c r="AM347" s="27"/>
      <c r="AN347" s="281"/>
      <c r="AQ347"/>
      <c r="AR347"/>
    </row>
    <row r="348" spans="1:76" s="4" customFormat="1" ht="12.75" customHeight="1">
      <c r="A348" s="27"/>
      <c r="B348" s="26"/>
      <c r="C348" s="1857"/>
      <c r="D348" s="1857"/>
      <c r="E348" s="1857"/>
      <c r="F348" s="1857"/>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27"/>
      <c r="AL348" s="27"/>
      <c r="AM348" s="27"/>
      <c r="AN348" s="281"/>
      <c r="AR348"/>
    </row>
    <row r="349" spans="1:76" s="4" customFormat="1" ht="12.75" customHeight="1">
      <c r="A349" s="27"/>
      <c r="B349" s="26"/>
      <c r="C349" s="1857"/>
      <c r="D349" s="1857"/>
      <c r="E349" s="1857"/>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27"/>
      <c r="AL349" s="27"/>
      <c r="AM349" s="27"/>
      <c r="AN349" s="281"/>
      <c r="AR349"/>
    </row>
    <row r="350" spans="1:76" s="4" customFormat="1" ht="12.75" customHeight="1">
      <c r="A350" s="27"/>
      <c r="B350" s="26"/>
      <c r="C350" s="1857" t="s">
        <v>1840</v>
      </c>
      <c r="D350" s="1857"/>
      <c r="E350" s="1857"/>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27"/>
      <c r="AL350" s="27"/>
      <c r="AM350" s="27"/>
      <c r="AN350" s="281"/>
      <c r="AQ350"/>
      <c r="AR350"/>
    </row>
    <row r="351" spans="1:76" s="4" customFormat="1" ht="12.75" customHeight="1">
      <c r="A351" s="27"/>
      <c r="B351" s="26"/>
      <c r="C351" s="1857"/>
      <c r="D351" s="1857"/>
      <c r="E351" s="1857"/>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27"/>
      <c r="AL351" s="27"/>
      <c r="AM351" s="27"/>
      <c r="AN351" s="281"/>
      <c r="AQ351"/>
      <c r="AR351"/>
    </row>
    <row r="352" spans="1:76" s="4" customFormat="1" ht="13.2" customHeight="1">
      <c r="A352" s="27"/>
      <c r="B352" s="26"/>
      <c r="C352" s="1857"/>
      <c r="D352" s="1857"/>
      <c r="E352" s="1857"/>
      <c r="F352" s="1857"/>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27"/>
      <c r="AL352" s="27"/>
      <c r="AM352" s="27"/>
      <c r="AN352" s="281"/>
      <c r="AQ352"/>
      <c r="AR352"/>
    </row>
    <row r="353" spans="1:46" s="4" customFormat="1" ht="12.75" customHeight="1">
      <c r="A353" s="27"/>
      <c r="B353" s="26"/>
      <c r="C353" s="1857"/>
      <c r="D353" s="1857"/>
      <c r="E353" s="1857"/>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27"/>
      <c r="AL353" s="27"/>
      <c r="AM353" s="27"/>
      <c r="AN353" s="281"/>
      <c r="AO353" s="170"/>
      <c r="AP353" s="170"/>
      <c r="AQ353"/>
    </row>
    <row r="354" spans="1:46" s="4" customFormat="1" ht="11.85" customHeight="1">
      <c r="A354" s="27"/>
      <c r="B354" s="26"/>
      <c r="C354" s="1857"/>
      <c r="D354" s="1857"/>
      <c r="E354" s="1857"/>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27"/>
      <c r="AL354" s="27"/>
      <c r="AM354" s="27"/>
      <c r="AN354" s="281"/>
      <c r="AO354" s="688" t="s">
        <v>900</v>
      </c>
      <c r="AP354" s="71">
        <f>IF(C379="Yes",5,0)</f>
        <v>0</v>
      </c>
      <c r="AS354" s="3" t="s">
        <v>1776</v>
      </c>
    </row>
    <row r="355" spans="1:46" s="4" customFormat="1" ht="12.75" customHeight="1">
      <c r="A355" s="27"/>
      <c r="B355" s="26"/>
      <c r="C355" s="1857"/>
      <c r="D355" s="1857"/>
      <c r="E355" s="1857"/>
      <c r="F355" s="1857"/>
      <c r="G355" s="1857"/>
      <c r="H355" s="1857"/>
      <c r="I355" s="1857"/>
      <c r="J355" s="1857"/>
      <c r="K355" s="1857"/>
      <c r="L355" s="1857"/>
      <c r="M355" s="1857"/>
      <c r="N355" s="1857"/>
      <c r="O355" s="1857"/>
      <c r="P355" s="1857"/>
      <c r="Q355" s="1857"/>
      <c r="R355" s="1857"/>
      <c r="S355" s="1857"/>
      <c r="T355" s="1857"/>
      <c r="U355" s="1857"/>
      <c r="V355" s="1857"/>
      <c r="W355" s="1857"/>
      <c r="X355" s="1857"/>
      <c r="Y355" s="1857"/>
      <c r="Z355" s="1857"/>
      <c r="AA355" s="1857"/>
      <c r="AB355" s="1857"/>
      <c r="AC355" s="1857"/>
      <c r="AD355" s="1857"/>
      <c r="AE355" s="1857"/>
      <c r="AF355" s="1857"/>
      <c r="AG355" s="1857"/>
      <c r="AH355" s="1857"/>
      <c r="AI355" s="1857"/>
      <c r="AJ355" s="1857"/>
      <c r="AK355" s="27"/>
      <c r="AL355" s="27"/>
      <c r="AM355" s="27"/>
      <c r="AN355" s="281"/>
      <c r="AO355" s="688"/>
      <c r="AP355" s="71"/>
      <c r="AS355" s="1869">
        <f>IF(AQ368=0,AQ381,AQ368)</f>
        <v>10</v>
      </c>
      <c r="AT355" s="1869"/>
    </row>
    <row r="356" spans="1:46" s="4" customFormat="1" ht="12.75" customHeight="1">
      <c r="A356" s="27"/>
      <c r="B356" s="26"/>
      <c r="C356" s="1857"/>
      <c r="D356" s="1857"/>
      <c r="E356" s="1857"/>
      <c r="F356" s="1857"/>
      <c r="G356" s="1857"/>
      <c r="H356" s="1857"/>
      <c r="I356" s="1857"/>
      <c r="J356" s="1857"/>
      <c r="K356" s="1857"/>
      <c r="L356" s="1857"/>
      <c r="M356" s="1857"/>
      <c r="N356" s="1857"/>
      <c r="O356" s="1857"/>
      <c r="P356" s="1857"/>
      <c r="Q356" s="1857"/>
      <c r="R356" s="1857"/>
      <c r="S356" s="1857"/>
      <c r="T356" s="1857"/>
      <c r="U356" s="1857"/>
      <c r="V356" s="1857"/>
      <c r="W356" s="1857"/>
      <c r="X356" s="1857"/>
      <c r="Y356" s="1857"/>
      <c r="Z356" s="1857"/>
      <c r="AA356" s="1857"/>
      <c r="AB356" s="1857"/>
      <c r="AC356" s="1857"/>
      <c r="AD356" s="1857"/>
      <c r="AE356" s="1857"/>
      <c r="AF356" s="1857"/>
      <c r="AG356" s="1857"/>
      <c r="AH356" s="1857"/>
      <c r="AI356" s="1857"/>
      <c r="AJ356" s="1857"/>
      <c r="AK356" s="27"/>
      <c r="AL356" s="27"/>
      <c r="AM356" s="27"/>
      <c r="AN356" s="281"/>
      <c r="AO356" s="688" t="s">
        <v>901</v>
      </c>
      <c r="AP356" s="71">
        <f>IF(C389="Yes",5,0)</f>
        <v>0</v>
      </c>
      <c r="AS356" s="3" t="s">
        <v>1809</v>
      </c>
    </row>
    <row r="357" spans="1:46" s="4" customFormat="1" ht="12.75" customHeight="1">
      <c r="A357" s="27"/>
      <c r="B357" s="26"/>
      <c r="C357" s="1857"/>
      <c r="D357" s="1857"/>
      <c r="E357" s="1857"/>
      <c r="F357" s="1857"/>
      <c r="G357" s="1857"/>
      <c r="H357" s="1857"/>
      <c r="I357" s="1857"/>
      <c r="J357" s="1857"/>
      <c r="K357" s="1857"/>
      <c r="L357" s="1857"/>
      <c r="M357" s="1857"/>
      <c r="N357" s="1857"/>
      <c r="O357" s="1857"/>
      <c r="P357" s="1857"/>
      <c r="Q357" s="1857"/>
      <c r="R357" s="1857"/>
      <c r="S357" s="1857"/>
      <c r="T357" s="1857"/>
      <c r="U357" s="1857"/>
      <c r="V357" s="1857"/>
      <c r="W357" s="1857"/>
      <c r="X357" s="1857"/>
      <c r="Y357" s="1857"/>
      <c r="Z357" s="1857"/>
      <c r="AA357" s="1857"/>
      <c r="AB357" s="1857"/>
      <c r="AC357" s="1857"/>
      <c r="AD357" s="1857"/>
      <c r="AE357" s="1857"/>
      <c r="AF357" s="1857"/>
      <c r="AG357" s="1857"/>
      <c r="AH357" s="1857"/>
      <c r="AI357" s="1857"/>
      <c r="AJ357" s="1857"/>
      <c r="AK357" s="27"/>
      <c r="AL357" s="27"/>
      <c r="AM357" s="27"/>
      <c r="AN357" s="281"/>
      <c r="AO357" s="688"/>
      <c r="AP357" s="71"/>
      <c r="AS357" s="1869">
        <f>IF(AND(AQ368&gt;0,AQ381&gt;0),(AQ368+AQ381)/2,0)</f>
        <v>0</v>
      </c>
      <c r="AT357" s="1869"/>
    </row>
    <row r="358" spans="1:46" s="4" customFormat="1" ht="12.75" customHeight="1">
      <c r="A358" s="27"/>
      <c r="B358" s="26"/>
      <c r="C358" s="1857"/>
      <c r="D358" s="1857"/>
      <c r="E358" s="1857"/>
      <c r="F358" s="1857"/>
      <c r="G358" s="1857"/>
      <c r="H358" s="1857"/>
      <c r="I358" s="1857"/>
      <c r="J358" s="1857"/>
      <c r="K358" s="1857"/>
      <c r="L358" s="1857"/>
      <c r="M358" s="1857"/>
      <c r="N358" s="1857"/>
      <c r="O358" s="1857"/>
      <c r="P358" s="1857"/>
      <c r="Q358" s="1857"/>
      <c r="R358" s="1857"/>
      <c r="S358" s="1857"/>
      <c r="T358" s="1857"/>
      <c r="U358" s="1857"/>
      <c r="V358" s="1857"/>
      <c r="W358" s="1857"/>
      <c r="X358" s="1857"/>
      <c r="Y358" s="1857"/>
      <c r="Z358" s="1857"/>
      <c r="AA358" s="1857"/>
      <c r="AB358" s="1857"/>
      <c r="AC358" s="1857"/>
      <c r="AD358" s="1857"/>
      <c r="AE358" s="1857"/>
      <c r="AF358" s="1857"/>
      <c r="AG358" s="1857"/>
      <c r="AH358" s="1857"/>
      <c r="AI358" s="1857"/>
      <c r="AJ358" s="1857"/>
      <c r="AK358" s="27"/>
      <c r="AL358" s="27"/>
      <c r="AM358" s="27"/>
      <c r="AN358" s="281"/>
      <c r="AO358" s="688" t="s">
        <v>907</v>
      </c>
      <c r="AP358" s="71">
        <f>IF(C399="Yes",7,0)</f>
        <v>7</v>
      </c>
    </row>
    <row r="359" spans="1:46" s="4" customFormat="1" ht="12.75" customHeight="1">
      <c r="A359" s="27"/>
      <c r="B359" s="26"/>
      <c r="C359" s="1857" t="s">
        <v>1841</v>
      </c>
      <c r="D359" s="1857"/>
      <c r="E359" s="1857"/>
      <c r="F359" s="1857"/>
      <c r="G359" s="1857"/>
      <c r="H359" s="1857"/>
      <c r="I359" s="1857"/>
      <c r="J359" s="1857"/>
      <c r="K359" s="1857"/>
      <c r="L359" s="1857"/>
      <c r="M359" s="1857"/>
      <c r="N359" s="1857"/>
      <c r="O359" s="1857"/>
      <c r="P359" s="1857"/>
      <c r="Q359" s="1857"/>
      <c r="R359" s="1857"/>
      <c r="S359" s="1857"/>
      <c r="T359" s="1857"/>
      <c r="U359" s="1857"/>
      <c r="V359" s="1857"/>
      <c r="W359" s="1857"/>
      <c r="X359" s="1857"/>
      <c r="Y359" s="1857"/>
      <c r="Z359" s="1857"/>
      <c r="AA359" s="1857"/>
      <c r="AB359" s="1857"/>
      <c r="AC359" s="1857"/>
      <c r="AD359" s="1857"/>
      <c r="AE359" s="1857"/>
      <c r="AF359" s="1857"/>
      <c r="AG359" s="1857"/>
      <c r="AH359" s="1857"/>
      <c r="AI359" s="1857"/>
      <c r="AJ359" s="1857"/>
      <c r="AK359" s="27"/>
      <c r="AL359" s="27"/>
      <c r="AM359" s="27"/>
      <c r="AN359" s="281"/>
      <c r="AO359" s="281"/>
      <c r="AP359" s="71">
        <f>IF(C401="Yes",5,0)</f>
        <v>0</v>
      </c>
    </row>
    <row r="360" spans="1:46" s="4" customFormat="1" ht="12.75" customHeight="1">
      <c r="A360" s="27"/>
      <c r="B360" s="26"/>
      <c r="C360" s="1857"/>
      <c r="D360" s="1857"/>
      <c r="E360" s="1857"/>
      <c r="F360" s="1857"/>
      <c r="G360" s="1857"/>
      <c r="H360" s="1857"/>
      <c r="I360" s="1857"/>
      <c r="J360" s="1857"/>
      <c r="K360" s="1857"/>
      <c r="L360" s="1857"/>
      <c r="M360" s="1857"/>
      <c r="N360" s="1857"/>
      <c r="O360" s="1857"/>
      <c r="P360" s="1857"/>
      <c r="Q360" s="1857"/>
      <c r="R360" s="1857"/>
      <c r="S360" s="1857"/>
      <c r="T360" s="1857"/>
      <c r="U360" s="1857"/>
      <c r="V360" s="1857"/>
      <c r="W360" s="1857"/>
      <c r="X360" s="1857"/>
      <c r="Y360" s="1857"/>
      <c r="Z360" s="1857"/>
      <c r="AA360" s="1857"/>
      <c r="AB360" s="1857"/>
      <c r="AC360" s="1857"/>
      <c r="AD360" s="1857"/>
      <c r="AE360" s="1857"/>
      <c r="AF360" s="1857"/>
      <c r="AG360" s="1857"/>
      <c r="AH360" s="1857"/>
      <c r="AI360" s="1857"/>
      <c r="AJ360" s="1857"/>
      <c r="AK360" s="27"/>
      <c r="AL360" s="27"/>
      <c r="AM360" s="27"/>
      <c r="AN360" s="281"/>
      <c r="AO360" s="281"/>
      <c r="AP360" s="71"/>
    </row>
    <row r="361" spans="1:46" s="4" customFormat="1" ht="12.75" customHeight="1">
      <c r="A361" s="27"/>
      <c r="B361" s="26"/>
      <c r="C361" s="1857"/>
      <c r="D361" s="1857"/>
      <c r="E361" s="1857"/>
      <c r="F361" s="1857"/>
      <c r="G361" s="1857"/>
      <c r="H361" s="1857"/>
      <c r="I361" s="1857"/>
      <c r="J361" s="1857"/>
      <c r="K361" s="1857"/>
      <c r="L361" s="1857"/>
      <c r="M361" s="1857"/>
      <c r="N361" s="1857"/>
      <c r="O361" s="1857"/>
      <c r="P361" s="1857"/>
      <c r="Q361" s="1857"/>
      <c r="R361" s="1857"/>
      <c r="S361" s="1857"/>
      <c r="T361" s="1857"/>
      <c r="U361" s="1857"/>
      <c r="V361" s="1857"/>
      <c r="W361" s="1857"/>
      <c r="X361" s="1857"/>
      <c r="Y361" s="1857"/>
      <c r="Z361" s="1857"/>
      <c r="AA361" s="1857"/>
      <c r="AB361" s="1857"/>
      <c r="AC361" s="1857"/>
      <c r="AD361" s="1857"/>
      <c r="AE361" s="1857"/>
      <c r="AF361" s="1857"/>
      <c r="AG361" s="1857"/>
      <c r="AH361" s="1857"/>
      <c r="AI361" s="1857"/>
      <c r="AJ361" s="1857"/>
      <c r="AK361" s="27"/>
      <c r="AL361" s="27"/>
      <c r="AM361" s="27"/>
      <c r="AN361" s="281"/>
      <c r="AO361" s="688" t="s">
        <v>431</v>
      </c>
      <c r="AP361" s="71">
        <f>IF(C409="Yes",5,0)</f>
        <v>0</v>
      </c>
    </row>
    <row r="362" spans="1:46" s="4" customFormat="1" ht="11.85" customHeight="1">
      <c r="A362" s="27"/>
      <c r="B362" s="26"/>
      <c r="C362" s="1857"/>
      <c r="D362" s="1857"/>
      <c r="E362" s="1857"/>
      <c r="F362" s="1857"/>
      <c r="G362" s="1857"/>
      <c r="H362" s="1857"/>
      <c r="I362" s="1857"/>
      <c r="J362" s="1857"/>
      <c r="K362" s="1857"/>
      <c r="L362" s="1857"/>
      <c r="M362" s="1857"/>
      <c r="N362" s="1857"/>
      <c r="O362" s="1857"/>
      <c r="P362" s="1857"/>
      <c r="Q362" s="1857"/>
      <c r="R362" s="1857"/>
      <c r="S362" s="1857"/>
      <c r="T362" s="1857"/>
      <c r="U362" s="1857"/>
      <c r="V362" s="1857"/>
      <c r="W362" s="1857"/>
      <c r="X362" s="1857"/>
      <c r="Y362" s="1857"/>
      <c r="Z362" s="1857"/>
      <c r="AA362" s="1857"/>
      <c r="AB362" s="1857"/>
      <c r="AC362" s="1857"/>
      <c r="AD362" s="1857"/>
      <c r="AE362" s="1857"/>
      <c r="AF362" s="1857"/>
      <c r="AG362" s="1857"/>
      <c r="AH362" s="1857"/>
      <c r="AI362" s="1857"/>
      <c r="AJ362" s="1857"/>
      <c r="AK362" s="27"/>
      <c r="AL362" s="27"/>
      <c r="AM362" s="27"/>
      <c r="AN362" s="281"/>
      <c r="AO362" s="281"/>
      <c r="AP362" s="71">
        <f>IF(C411="Yes",3,0)</f>
        <v>3</v>
      </c>
    </row>
    <row r="363" spans="1:46" s="4" customFormat="1" ht="12.45" customHeight="1">
      <c r="A363" s="27"/>
      <c r="B363" s="26"/>
      <c r="C363" s="1857"/>
      <c r="D363" s="1857"/>
      <c r="E363" s="1857"/>
      <c r="F363" s="1857"/>
      <c r="G363" s="1857"/>
      <c r="H363" s="1857"/>
      <c r="I363" s="1857"/>
      <c r="J363" s="1857"/>
      <c r="K363" s="1857"/>
      <c r="L363" s="1857"/>
      <c r="M363" s="1857"/>
      <c r="N363" s="1857"/>
      <c r="O363" s="1857"/>
      <c r="P363" s="1857"/>
      <c r="Q363" s="1857"/>
      <c r="R363" s="1857"/>
      <c r="S363" s="1857"/>
      <c r="T363" s="1857"/>
      <c r="U363" s="1857"/>
      <c r="V363" s="1857"/>
      <c r="W363" s="1857"/>
      <c r="X363" s="1857"/>
      <c r="Y363" s="1857"/>
      <c r="Z363" s="1857"/>
      <c r="AA363" s="1857"/>
      <c r="AB363" s="1857"/>
      <c r="AC363" s="1857"/>
      <c r="AD363" s="1857"/>
      <c r="AE363" s="1857"/>
      <c r="AF363" s="1857"/>
      <c r="AG363" s="1857"/>
      <c r="AH363" s="1857"/>
      <c r="AI363" s="1857"/>
      <c r="AJ363" s="1857"/>
      <c r="AK363" s="27"/>
      <c r="AL363" s="27"/>
      <c r="AM363" s="27"/>
      <c r="AN363" s="281"/>
      <c r="AO363" s="281"/>
      <c r="AP363" s="71"/>
    </row>
    <row r="364" spans="1:46" s="4" customFormat="1" ht="12.75" customHeight="1">
      <c r="A364" s="27"/>
      <c r="B364" s="26"/>
      <c r="C364" s="1857"/>
      <c r="D364" s="1857"/>
      <c r="E364" s="1857"/>
      <c r="F364" s="1857"/>
      <c r="G364" s="1857"/>
      <c r="H364" s="1857"/>
      <c r="I364" s="1857"/>
      <c r="J364" s="1857"/>
      <c r="K364" s="1857"/>
      <c r="L364" s="1857"/>
      <c r="M364" s="1857"/>
      <c r="N364" s="1857"/>
      <c r="O364" s="1857"/>
      <c r="P364" s="1857"/>
      <c r="Q364" s="1857"/>
      <c r="R364" s="1857"/>
      <c r="S364" s="1857"/>
      <c r="T364" s="1857"/>
      <c r="U364" s="1857"/>
      <c r="V364" s="1857"/>
      <c r="W364" s="1857"/>
      <c r="X364" s="1857"/>
      <c r="Y364" s="1857"/>
      <c r="Z364" s="1857"/>
      <c r="AA364" s="1857"/>
      <c r="AB364" s="1857"/>
      <c r="AC364" s="1857"/>
      <c r="AD364" s="1857"/>
      <c r="AE364" s="1857"/>
      <c r="AF364" s="1857"/>
      <c r="AG364" s="1857"/>
      <c r="AH364" s="1857"/>
      <c r="AI364" s="1857"/>
      <c r="AJ364" s="1857"/>
      <c r="AK364" s="27"/>
      <c r="AL364" s="27"/>
      <c r="AM364" s="27"/>
      <c r="AN364" s="281"/>
      <c r="AO364" s="688" t="s">
        <v>171</v>
      </c>
      <c r="AP364" s="71">
        <f>IF(C414="Yes",5,0)</f>
        <v>0</v>
      </c>
    </row>
    <row r="365" spans="1:46" s="4" customFormat="1" ht="12.75" customHeight="1">
      <c r="A365" s="27"/>
      <c r="B365" s="26"/>
      <c r="C365" s="1857"/>
      <c r="D365" s="1857"/>
      <c r="E365" s="1857"/>
      <c r="F365" s="1857"/>
      <c r="G365" s="1857"/>
      <c r="H365" s="1857"/>
      <c r="I365" s="1857"/>
      <c r="J365" s="1857"/>
      <c r="K365" s="1857"/>
      <c r="L365" s="1857"/>
      <c r="M365" s="1857"/>
      <c r="N365" s="1857"/>
      <c r="O365" s="1857"/>
      <c r="P365" s="1857"/>
      <c r="Q365" s="1857"/>
      <c r="R365" s="1857"/>
      <c r="S365" s="1857"/>
      <c r="T365" s="1857"/>
      <c r="U365" s="1857"/>
      <c r="V365" s="1857"/>
      <c r="W365" s="1857"/>
      <c r="X365" s="1857"/>
      <c r="Y365" s="1857"/>
      <c r="Z365" s="1857"/>
      <c r="AA365" s="1857"/>
      <c r="AB365" s="1857"/>
      <c r="AC365" s="1857"/>
      <c r="AD365" s="1857"/>
      <c r="AE365" s="1857"/>
      <c r="AF365" s="1857"/>
      <c r="AG365" s="1857"/>
      <c r="AH365" s="1857"/>
      <c r="AI365" s="1857"/>
      <c r="AJ365" s="1857"/>
      <c r="AK365" s="27"/>
      <c r="AL365" s="27"/>
      <c r="AM365" s="27"/>
      <c r="AN365" s="281"/>
      <c r="AO365" s="688" t="s">
        <v>434</v>
      </c>
      <c r="AP365" s="71">
        <f>IF(C423="Yes",5,0)</f>
        <v>0</v>
      </c>
    </row>
    <row r="366" spans="1:46" s="4" customFormat="1" ht="12.75" customHeight="1">
      <c r="A366" s="27"/>
      <c r="B366" s="26"/>
      <c r="C366" s="1857" t="s">
        <v>1842</v>
      </c>
      <c r="D366" s="1857"/>
      <c r="E366" s="1857"/>
      <c r="F366" s="1857"/>
      <c r="G366" s="1857"/>
      <c r="H366" s="1857"/>
      <c r="I366" s="1857"/>
      <c r="J366" s="1857"/>
      <c r="K366" s="1857"/>
      <c r="L366" s="1857"/>
      <c r="M366" s="1857"/>
      <c r="N366" s="1857"/>
      <c r="O366" s="1857"/>
      <c r="P366" s="1857"/>
      <c r="Q366" s="1857"/>
      <c r="R366" s="1857"/>
      <c r="S366" s="1857"/>
      <c r="T366" s="1857"/>
      <c r="U366" s="1857"/>
      <c r="V366" s="1857"/>
      <c r="W366" s="1857"/>
      <c r="X366" s="1857"/>
      <c r="Y366" s="1857"/>
      <c r="Z366" s="1857"/>
      <c r="AA366" s="1857"/>
      <c r="AB366" s="1857"/>
      <c r="AC366" s="1857"/>
      <c r="AD366" s="1857"/>
      <c r="AE366" s="1857"/>
      <c r="AF366" s="1857"/>
      <c r="AG366" s="1857"/>
      <c r="AH366" s="1857"/>
      <c r="AI366" s="1857"/>
      <c r="AJ366" s="1857"/>
      <c r="AK366" s="27"/>
      <c r="AL366" s="27"/>
      <c r="AM366" s="27"/>
      <c r="AN366" s="281"/>
      <c r="AO366" s="281"/>
      <c r="AP366" s="71">
        <f>IF(C425="Yes",3,0)</f>
        <v>0</v>
      </c>
    </row>
    <row r="367" spans="1:46" s="4" customFormat="1" ht="12.75" customHeight="1">
      <c r="A367" s="27"/>
      <c r="B367" s="26"/>
      <c r="C367" s="1857"/>
      <c r="D367" s="1857"/>
      <c r="E367" s="1857"/>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27"/>
      <c r="AL367" s="27"/>
      <c r="AM367" s="27"/>
      <c r="AN367" s="281"/>
      <c r="AO367" s="689"/>
      <c r="AP367" s="55"/>
    </row>
    <row r="368" spans="1:46" s="4" customFormat="1" ht="68.099999999999994" customHeight="1">
      <c r="A368" s="27"/>
      <c r="B368" s="26"/>
      <c r="C368" s="1857"/>
      <c r="D368" s="1857"/>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27"/>
      <c r="AL368" s="27"/>
      <c r="AM368" s="27"/>
      <c r="AN368" s="281"/>
      <c r="AO368" s="690" t="s">
        <v>610</v>
      </c>
      <c r="AP368" s="168">
        <f>SUM(AP354:AP367)</f>
        <v>10</v>
      </c>
      <c r="AQ368" s="1225">
        <f>IF(AP368&gt;0,AP368,0)</f>
        <v>10</v>
      </c>
      <c r="AR368" s="1225"/>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701">
        <f>Application!CQ649-U371</f>
        <v>136</v>
      </c>
      <c r="V370" s="1701"/>
      <c r="W370" s="170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702">
        <f>IF(Application!D214="SRO",Application!CQ628,Application!AG733)</f>
        <v>0</v>
      </c>
      <c r="V371" s="1702"/>
      <c r="W371" s="1702"/>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9" t="s">
        <v>1785</v>
      </c>
      <c r="G375" s="1699"/>
      <c r="H375" s="1699"/>
      <c r="I375" s="1699"/>
      <c r="J375" s="1699"/>
      <c r="K375" s="1699"/>
      <c r="L375" s="1699"/>
      <c r="M375" s="1699"/>
      <c r="N375" s="1699"/>
      <c r="O375" s="1699"/>
      <c r="P375" s="1699"/>
      <c r="Q375" s="1699"/>
      <c r="R375" s="1699"/>
      <c r="S375" s="1699"/>
      <c r="T375" s="1699"/>
      <c r="U375" s="1699"/>
      <c r="V375" s="1699"/>
      <c r="W375" s="1699"/>
      <c r="X375" s="1699"/>
      <c r="Y375" s="1699"/>
      <c r="Z375" s="1699"/>
      <c r="AA375" s="1699"/>
      <c r="AB375" s="1699"/>
      <c r="AC375" s="1699"/>
      <c r="AD375" s="1699"/>
      <c r="AE375" s="1699"/>
      <c r="AF375" s="169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4"/>
      <c r="G376" s="1644"/>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4"/>
      <c r="G377" s="1644"/>
      <c r="H377" s="1644"/>
      <c r="I377" s="1644"/>
      <c r="J377" s="1644"/>
      <c r="K377" s="1644"/>
      <c r="L377" s="1644"/>
      <c r="M377" s="1644"/>
      <c r="N377" s="1644"/>
      <c r="O377" s="1644"/>
      <c r="P377" s="1644"/>
      <c r="Q377" s="1644"/>
      <c r="R377" s="1644"/>
      <c r="S377" s="1644"/>
      <c r="T377" s="1644"/>
      <c r="U377" s="1644"/>
      <c r="V377" s="1644"/>
      <c r="W377" s="1644"/>
      <c r="X377" s="1644"/>
      <c r="Y377" s="1644"/>
      <c r="Z377" s="1644"/>
      <c r="AA377" s="1644"/>
      <c r="AB377" s="1644"/>
      <c r="AC377" s="1644"/>
      <c r="AD377" s="1644"/>
      <c r="AE377" s="1644"/>
      <c r="AF377" s="164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4"/>
      <c r="G378" s="1644"/>
      <c r="H378" s="1644"/>
      <c r="I378" s="1644"/>
      <c r="J378" s="1644"/>
      <c r="K378" s="1644"/>
      <c r="L378" s="1644"/>
      <c r="M378" s="1644"/>
      <c r="N378" s="1644"/>
      <c r="O378" s="1644"/>
      <c r="P378" s="1644"/>
      <c r="Q378" s="1644"/>
      <c r="R378" s="1644"/>
      <c r="S378" s="1644"/>
      <c r="T378" s="1644"/>
      <c r="U378" s="1644"/>
      <c r="V378" s="1644"/>
      <c r="W378" s="1644"/>
      <c r="X378" s="1644"/>
      <c r="Y378" s="1644"/>
      <c r="Z378" s="1644"/>
      <c r="AA378" s="1644"/>
      <c r="AB378" s="1644"/>
      <c r="AC378" s="1644"/>
      <c r="AD378" s="1644"/>
      <c r="AE378" s="1644"/>
      <c r="AF378" s="164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124</v>
      </c>
      <c r="D379" s="1115"/>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4" t="s">
        <v>319</v>
      </c>
      <c r="AG379" s="1544"/>
      <c r="AH379" s="1544"/>
      <c r="AI379" s="1544"/>
      <c r="AJ379" s="1544"/>
      <c r="AK379" s="1544"/>
      <c r="AL379" s="1698"/>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9" t="s">
        <v>1784</v>
      </c>
      <c r="G384" s="1699"/>
      <c r="H384" s="1699"/>
      <c r="I384" s="1699"/>
      <c r="J384" s="1699"/>
      <c r="K384" s="1699"/>
      <c r="L384" s="1699"/>
      <c r="M384" s="1699"/>
      <c r="N384" s="1699"/>
      <c r="O384" s="1699"/>
      <c r="P384" s="1699"/>
      <c r="Q384" s="1699"/>
      <c r="R384" s="1699"/>
      <c r="S384" s="1699"/>
      <c r="T384" s="1699"/>
      <c r="U384" s="1699"/>
      <c r="V384" s="1699"/>
      <c r="W384" s="1699"/>
      <c r="X384" s="1699"/>
      <c r="Y384" s="1699"/>
      <c r="Z384" s="1699"/>
      <c r="AA384" s="1699"/>
      <c r="AB384" s="1699"/>
      <c r="AC384" s="1699"/>
      <c r="AD384" s="1699"/>
      <c r="AE384" s="1699"/>
      <c r="AF384" s="169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4"/>
      <c r="G385" s="1644"/>
      <c r="H385" s="1644"/>
      <c r="I385" s="1644"/>
      <c r="J385" s="1644"/>
      <c r="K385" s="1644"/>
      <c r="L385" s="1644"/>
      <c r="M385" s="1644"/>
      <c r="N385" s="1644"/>
      <c r="O385" s="1644"/>
      <c r="P385" s="1644"/>
      <c r="Q385" s="1644"/>
      <c r="R385" s="1644"/>
      <c r="S385" s="1644"/>
      <c r="T385" s="1644"/>
      <c r="U385" s="1644"/>
      <c r="V385" s="1644"/>
      <c r="W385" s="1644"/>
      <c r="X385" s="1644"/>
      <c r="Y385" s="1644"/>
      <c r="Z385" s="1644"/>
      <c r="AA385" s="1644"/>
      <c r="AB385" s="1644"/>
      <c r="AC385" s="1644"/>
      <c r="AD385" s="1644"/>
      <c r="AE385" s="1644"/>
      <c r="AF385" s="164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4"/>
      <c r="G386" s="1644"/>
      <c r="H386" s="1644"/>
      <c r="I386" s="1644"/>
      <c r="J386" s="1644"/>
      <c r="K386" s="1644"/>
      <c r="L386" s="1644"/>
      <c r="M386" s="1644"/>
      <c r="N386" s="1644"/>
      <c r="O386" s="1644"/>
      <c r="P386" s="1644"/>
      <c r="Q386" s="1644"/>
      <c r="R386" s="1644"/>
      <c r="S386" s="1644"/>
      <c r="T386" s="1644"/>
      <c r="U386" s="1644"/>
      <c r="V386" s="1644"/>
      <c r="W386" s="1644"/>
      <c r="X386" s="1644"/>
      <c r="Y386" s="1644"/>
      <c r="Z386" s="1644"/>
      <c r="AA386" s="1644"/>
      <c r="AB386" s="1644"/>
      <c r="AC386" s="1644"/>
      <c r="AD386" s="1644"/>
      <c r="AE386" s="1644"/>
      <c r="AF386" s="164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4"/>
      <c r="G387" s="1644"/>
      <c r="H387" s="1644"/>
      <c r="I387" s="1644"/>
      <c r="J387" s="1644"/>
      <c r="K387" s="1644"/>
      <c r="L387" s="1644"/>
      <c r="M387" s="1644"/>
      <c r="N387" s="1644"/>
      <c r="O387" s="1644"/>
      <c r="P387" s="1644"/>
      <c r="Q387" s="1644"/>
      <c r="R387" s="1644"/>
      <c r="S387" s="1644"/>
      <c r="T387" s="1644"/>
      <c r="U387" s="1644"/>
      <c r="V387" s="1644"/>
      <c r="W387" s="1644"/>
      <c r="X387" s="1644"/>
      <c r="Y387" s="1644"/>
      <c r="Z387" s="1644"/>
      <c r="AA387" s="1644"/>
      <c r="AB387" s="1644"/>
      <c r="AC387" s="1644"/>
      <c r="AD387" s="1644"/>
      <c r="AE387" s="1644"/>
      <c r="AF387" s="164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4"/>
      <c r="G388" s="1644"/>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15"/>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4" t="s">
        <v>319</v>
      </c>
      <c r="AG389" s="1544"/>
      <c r="AH389" s="1544"/>
      <c r="AI389" s="1544"/>
      <c r="AJ389" s="1544"/>
      <c r="AK389" s="1544"/>
      <c r="AL389" s="169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4"/>
      <c r="AG391" s="1544"/>
      <c r="AH391" s="1544"/>
      <c r="AI391" s="1544"/>
      <c r="AJ391" s="1544"/>
      <c r="AK391" s="1544"/>
      <c r="AL391" s="154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0" t="s">
        <v>1948</v>
      </c>
      <c r="G394" s="1870"/>
      <c r="H394" s="1870"/>
      <c r="I394" s="1870"/>
      <c r="J394" s="1870"/>
      <c r="K394" s="1870"/>
      <c r="L394" s="1870"/>
      <c r="M394" s="1870"/>
      <c r="N394" s="1870"/>
      <c r="O394" s="1870"/>
      <c r="P394" s="1870"/>
      <c r="Q394" s="1870"/>
      <c r="R394" s="1870"/>
      <c r="S394" s="1870"/>
      <c r="T394" s="1870"/>
      <c r="U394" s="1870"/>
      <c r="V394" s="1870"/>
      <c r="W394" s="1870"/>
      <c r="X394" s="1870"/>
      <c r="Y394" s="1870"/>
      <c r="Z394" s="1870"/>
      <c r="AA394" s="1870"/>
      <c r="AB394" s="1870"/>
      <c r="AC394" s="1870"/>
      <c r="AD394" s="1870"/>
      <c r="AE394" s="1870"/>
      <c r="AF394" s="187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1"/>
      <c r="G396" s="1691"/>
      <c r="H396" s="1691"/>
      <c r="I396" s="1691"/>
      <c r="J396" s="1691"/>
      <c r="K396" s="1691"/>
      <c r="L396" s="1691"/>
      <c r="M396" s="1691"/>
      <c r="N396" s="1691"/>
      <c r="O396" s="1691"/>
      <c r="P396" s="1691"/>
      <c r="Q396" s="1691"/>
      <c r="R396" s="1691"/>
      <c r="S396" s="1691"/>
      <c r="T396" s="1691"/>
      <c r="U396" s="1691"/>
      <c r="V396" s="1691"/>
      <c r="W396" s="1691"/>
      <c r="X396" s="1691"/>
      <c r="Y396" s="1691"/>
      <c r="Z396" s="1691"/>
      <c r="AA396" s="1691"/>
      <c r="AB396" s="1691"/>
      <c r="AC396" s="1691"/>
      <c r="AD396" s="1691"/>
      <c r="AE396" s="1691"/>
      <c r="AF396" s="169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1"/>
      <c r="G397" s="1691"/>
      <c r="H397" s="1691"/>
      <c r="I397" s="1691"/>
      <c r="J397" s="1691"/>
      <c r="K397" s="1691"/>
      <c r="L397" s="1691"/>
      <c r="M397" s="1691"/>
      <c r="N397" s="1691"/>
      <c r="O397" s="1691"/>
      <c r="P397" s="1691"/>
      <c r="Q397" s="1691"/>
      <c r="R397" s="1691"/>
      <c r="S397" s="1691"/>
      <c r="T397" s="1691"/>
      <c r="U397" s="1691"/>
      <c r="V397" s="1691"/>
      <c r="W397" s="1691"/>
      <c r="X397" s="1691"/>
      <c r="Y397" s="1691"/>
      <c r="Z397" s="1691"/>
      <c r="AA397" s="1691"/>
      <c r="AB397" s="1691"/>
      <c r="AC397" s="1691"/>
      <c r="AD397" s="1691"/>
      <c r="AE397" s="1691"/>
      <c r="AF397" s="169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1"/>
      <c r="G398" s="1691"/>
      <c r="H398" s="1691"/>
      <c r="I398" s="1691"/>
      <c r="J398" s="1691"/>
      <c r="K398" s="1691"/>
      <c r="L398" s="1691"/>
      <c r="M398" s="1691"/>
      <c r="N398" s="1691"/>
      <c r="O398" s="1691"/>
      <c r="P398" s="1691"/>
      <c r="Q398" s="1691"/>
      <c r="R398" s="1691"/>
      <c r="S398" s="1691"/>
      <c r="T398" s="1691"/>
      <c r="U398" s="1691"/>
      <c r="V398" s="1691"/>
      <c r="W398" s="1691"/>
      <c r="X398" s="1691"/>
      <c r="Y398" s="1691"/>
      <c r="Z398" s="1691"/>
      <c r="AA398" s="1691"/>
      <c r="AB398" s="1691"/>
      <c r="AC398" s="1691"/>
      <c r="AD398" s="1691"/>
      <c r="AE398" s="1691"/>
      <c r="AF398" s="169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108</v>
      </c>
      <c r="D399" s="1115"/>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4" t="s">
        <v>963</v>
      </c>
      <c r="AG399" s="1544"/>
      <c r="AH399" s="1544"/>
      <c r="AI399" s="1544"/>
      <c r="AJ399" s="1544"/>
      <c r="AK399" s="1544"/>
      <c r="AL399" s="1698"/>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15"/>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4" t="s">
        <v>319</v>
      </c>
      <c r="AG401" s="1544"/>
      <c r="AH401" s="1544"/>
      <c r="AI401" s="1544"/>
      <c r="AJ401" s="1544"/>
      <c r="AK401" s="1544"/>
      <c r="AL401" s="169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9" t="s">
        <v>1783</v>
      </c>
      <c r="G405" s="1699"/>
      <c r="H405" s="1699"/>
      <c r="I405" s="1699"/>
      <c r="J405" s="1699"/>
      <c r="K405" s="1699"/>
      <c r="L405" s="1699"/>
      <c r="M405" s="1699"/>
      <c r="N405" s="1699"/>
      <c r="O405" s="1699"/>
      <c r="P405" s="1699"/>
      <c r="Q405" s="1699"/>
      <c r="R405" s="1699"/>
      <c r="S405" s="1699"/>
      <c r="T405" s="1699"/>
      <c r="U405" s="1699"/>
      <c r="V405" s="1699"/>
      <c r="W405" s="1699"/>
      <c r="X405" s="1699"/>
      <c r="Y405" s="1699"/>
      <c r="Z405" s="1699"/>
      <c r="AA405" s="1699"/>
      <c r="AB405" s="1699"/>
      <c r="AC405" s="1699"/>
      <c r="AD405" s="1699"/>
      <c r="AE405" s="1699"/>
      <c r="AF405" s="169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4"/>
      <c r="G406" s="1644"/>
      <c r="H406" s="1644"/>
      <c r="I406" s="1644"/>
      <c r="J406" s="1644"/>
      <c r="K406" s="1644"/>
      <c r="L406" s="1644"/>
      <c r="M406" s="1644"/>
      <c r="N406" s="1644"/>
      <c r="O406" s="1644"/>
      <c r="P406" s="1644"/>
      <c r="Q406" s="1644"/>
      <c r="R406" s="1644"/>
      <c r="S406" s="1644"/>
      <c r="T406" s="1644"/>
      <c r="U406" s="1644"/>
      <c r="V406" s="1644"/>
      <c r="W406" s="1644"/>
      <c r="X406" s="1644"/>
      <c r="Y406" s="1644"/>
      <c r="Z406" s="1644"/>
      <c r="AA406" s="1644"/>
      <c r="AB406" s="1644"/>
      <c r="AC406" s="1644"/>
      <c r="AD406" s="1644"/>
      <c r="AE406" s="1644"/>
      <c r="AF406" s="164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4"/>
      <c r="G407" s="1644"/>
      <c r="H407" s="1644"/>
      <c r="I407" s="1644"/>
      <c r="J407" s="1644"/>
      <c r="K407" s="1644"/>
      <c r="L407" s="1644"/>
      <c r="M407" s="1644"/>
      <c r="N407" s="1644"/>
      <c r="O407" s="1644"/>
      <c r="P407" s="1644"/>
      <c r="Q407" s="1644"/>
      <c r="R407" s="1644"/>
      <c r="S407" s="1644"/>
      <c r="T407" s="1644"/>
      <c r="U407" s="1644"/>
      <c r="V407" s="1644"/>
      <c r="W407" s="1644"/>
      <c r="X407" s="1644"/>
      <c r="Y407" s="1644"/>
      <c r="Z407" s="1644"/>
      <c r="AA407" s="1644"/>
      <c r="AB407" s="1644"/>
      <c r="AC407" s="1644"/>
      <c r="AD407" s="1644"/>
      <c r="AE407" s="1644"/>
      <c r="AF407" s="164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4"/>
      <c r="G408" s="1644"/>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15"/>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4" t="s">
        <v>319</v>
      </c>
      <c r="AG409" s="1544"/>
      <c r="AH409" s="1544"/>
      <c r="AI409" s="1544"/>
      <c r="AJ409" s="1544"/>
      <c r="AK409" s="1544"/>
      <c r="AL409" s="169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108</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4" t="s">
        <v>962</v>
      </c>
      <c r="AG411" s="1544"/>
      <c r="AH411" s="1544"/>
      <c r="AI411" s="1544"/>
      <c r="AJ411" s="1544"/>
      <c r="AK411" s="1544"/>
      <c r="AL411" s="169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15"/>
      <c r="E414" s="698" t="s">
        <v>193</v>
      </c>
      <c r="F414" s="1699" t="s">
        <v>1787</v>
      </c>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4"/>
      <c r="G415" s="1644"/>
      <c r="H415" s="1644"/>
      <c r="I415" s="1644"/>
      <c r="J415" s="1644"/>
      <c r="K415" s="1644"/>
      <c r="L415" s="1644"/>
      <c r="M415" s="1644"/>
      <c r="N415" s="1644"/>
      <c r="O415" s="1644"/>
      <c r="P415" s="1644"/>
      <c r="Q415" s="1644"/>
      <c r="R415" s="1644"/>
      <c r="S415" s="1644"/>
      <c r="T415" s="1644"/>
      <c r="U415" s="1644"/>
      <c r="V415" s="1644"/>
      <c r="W415" s="1644"/>
      <c r="X415" s="1644"/>
      <c r="Y415" s="1644"/>
      <c r="Z415" s="1644"/>
      <c r="AA415" s="1644"/>
      <c r="AB415" s="1644"/>
      <c r="AC415" s="1644"/>
      <c r="AD415" s="1644"/>
      <c r="AE415" s="1644"/>
      <c r="AF415" s="1690" t="s">
        <v>319</v>
      </c>
      <c r="AG415" s="1690"/>
      <c r="AH415" s="1690"/>
      <c r="AI415" s="1690"/>
      <c r="AJ415" s="1690"/>
      <c r="AK415" s="1690"/>
      <c r="AL415" s="170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4"/>
      <c r="G416" s="1644"/>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9" t="s">
        <v>1789</v>
      </c>
      <c r="G419" s="1699"/>
      <c r="H419" s="1699"/>
      <c r="I419" s="1699"/>
      <c r="J419" s="1699"/>
      <c r="K419" s="1699"/>
      <c r="L419" s="1699"/>
      <c r="M419" s="1699"/>
      <c r="N419" s="1699"/>
      <c r="O419" s="1699"/>
      <c r="P419" s="1699"/>
      <c r="Q419" s="1699"/>
      <c r="R419" s="1699"/>
      <c r="S419" s="1699"/>
      <c r="T419" s="1699"/>
      <c r="U419" s="1699"/>
      <c r="V419" s="1699"/>
      <c r="W419" s="1699"/>
      <c r="X419" s="1699"/>
      <c r="Y419" s="1699"/>
      <c r="Z419" s="1699"/>
      <c r="AA419" s="1699"/>
      <c r="AB419" s="1699"/>
      <c r="AC419" s="1699"/>
      <c r="AD419" s="1699"/>
      <c r="AE419" s="1699"/>
      <c r="AF419" s="718"/>
      <c r="AG419" s="718"/>
      <c r="AH419" s="718"/>
      <c r="AI419" s="718"/>
      <c r="AJ419" s="718"/>
      <c r="AK419" s="718"/>
      <c r="AL419" s="719"/>
      <c r="AM419"/>
    </row>
    <row r="420" spans="1:55">
      <c r="A420" s="5"/>
      <c r="C420" s="704"/>
      <c r="E420" s="194"/>
      <c r="F420" s="1644"/>
      <c r="G420" s="1644"/>
      <c r="H420" s="1644"/>
      <c r="I420" s="1644"/>
      <c r="J420" s="1644"/>
      <c r="K420" s="1644"/>
      <c r="L420" s="1644"/>
      <c r="M420" s="1644"/>
      <c r="N420" s="1644"/>
      <c r="O420" s="1644"/>
      <c r="P420" s="1644"/>
      <c r="Q420" s="1644"/>
      <c r="R420" s="1644"/>
      <c r="S420" s="1644"/>
      <c r="T420" s="1644"/>
      <c r="U420" s="1644"/>
      <c r="V420" s="1644"/>
      <c r="W420" s="1644"/>
      <c r="X420" s="1644"/>
      <c r="Y420" s="1644"/>
      <c r="Z420" s="1644"/>
      <c r="AA420" s="1644"/>
      <c r="AB420" s="1644"/>
      <c r="AC420" s="1644"/>
      <c r="AD420" s="1644"/>
      <c r="AE420" s="1644"/>
      <c r="AF420" s="3"/>
      <c r="AG420" s="5"/>
      <c r="AH420" s="4"/>
      <c r="AI420" s="4"/>
      <c r="AJ420" s="4"/>
      <c r="AK420" s="4"/>
      <c r="AL420" s="705"/>
      <c r="AM420"/>
    </row>
    <row r="421" spans="1:55" s="4" customFormat="1" ht="12.75" customHeight="1">
      <c r="A421" s="5"/>
      <c r="B421" s="21"/>
      <c r="C421" s="704"/>
      <c r="D421" s="21"/>
      <c r="E421" s="194"/>
      <c r="F421" s="1644"/>
      <c r="G421" s="1644"/>
      <c r="H421" s="1644"/>
      <c r="I421" s="1644"/>
      <c r="J421" s="1644"/>
      <c r="K421" s="1644"/>
      <c r="L421" s="1644"/>
      <c r="M421" s="1644"/>
      <c r="N421" s="1644"/>
      <c r="O421" s="1644"/>
      <c r="P421" s="1644"/>
      <c r="Q421" s="1644"/>
      <c r="R421" s="1644"/>
      <c r="S421" s="1644"/>
      <c r="T421" s="1644"/>
      <c r="U421" s="1644"/>
      <c r="V421" s="1644"/>
      <c r="W421" s="1644"/>
      <c r="X421" s="1644"/>
      <c r="Y421" s="1644"/>
      <c r="Z421" s="1644"/>
      <c r="AA421" s="1644"/>
      <c r="AB421" s="1644"/>
      <c r="AC421" s="1644"/>
      <c r="AD421" s="1644"/>
      <c r="AE421" s="1644"/>
      <c r="AL421" s="705"/>
      <c r="AM421"/>
      <c r="AN421" s="281"/>
    </row>
    <row r="422" spans="1:55" s="4" customFormat="1" ht="12.75" customHeight="1">
      <c r="A422" s="5"/>
      <c r="B422" s="21"/>
      <c r="C422" s="707"/>
      <c r="F422" s="1644"/>
      <c r="G422" s="1644"/>
      <c r="H422" s="1644"/>
      <c r="I422" s="1644"/>
      <c r="J422" s="1644"/>
      <c r="K422" s="1644"/>
      <c r="L422" s="1644"/>
      <c r="M422" s="1644"/>
      <c r="N422" s="1644"/>
      <c r="O422" s="1644"/>
      <c r="P422" s="1644"/>
      <c r="Q422" s="1644"/>
      <c r="R422" s="1644"/>
      <c r="S422" s="1644"/>
      <c r="T422" s="1644"/>
      <c r="U422" s="1644"/>
      <c r="V422" s="1644"/>
      <c r="W422" s="1644"/>
      <c r="X422" s="1644"/>
      <c r="Y422" s="1644"/>
      <c r="Z422" s="1644"/>
      <c r="AA422" s="1644"/>
      <c r="AB422" s="1644"/>
      <c r="AC422" s="1644"/>
      <c r="AD422" s="1644"/>
      <c r="AE422" s="1644"/>
      <c r="AL422" s="705"/>
      <c r="AM422"/>
      <c r="AN422" s="281"/>
    </row>
    <row r="423" spans="1:55" s="4" customFormat="1" ht="12.75" customHeight="1">
      <c r="A423" s="5"/>
      <c r="B423" s="21"/>
      <c r="C423" s="1697" t="s">
        <v>124</v>
      </c>
      <c r="D423" s="1115"/>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0" t="s">
        <v>319</v>
      </c>
      <c r="AG423" s="1690"/>
      <c r="AH423" s="1690"/>
      <c r="AI423" s="1690"/>
      <c r="AJ423" s="1690"/>
      <c r="AK423" s="1690"/>
      <c r="AL423" s="1705"/>
      <c r="AM423"/>
      <c r="AN423" s="281"/>
    </row>
    <row r="424" spans="1:55" s="4" customFormat="1" ht="12.75" customHeight="1">
      <c r="A424" s="5"/>
      <c r="B424" s="21"/>
      <c r="C424" s="707"/>
      <c r="AL424" s="705"/>
      <c r="AM424"/>
      <c r="AN424" s="281"/>
    </row>
    <row r="425" spans="1:55" s="4" customFormat="1" ht="12.75" customHeight="1">
      <c r="A425" s="5"/>
      <c r="B425" s="21"/>
      <c r="C425" s="1697"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0" t="s">
        <v>962</v>
      </c>
      <c r="AG425" s="1690"/>
      <c r="AH425" s="1690"/>
      <c r="AI425" s="1690"/>
      <c r="AJ425" s="1690"/>
      <c r="AK425" s="1690"/>
      <c r="AL425" s="170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9" t="s">
        <v>1790</v>
      </c>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697"/>
      <c r="AG429" s="697"/>
      <c r="AH429" s="697"/>
      <c r="AI429" s="697"/>
      <c r="AJ429" s="697"/>
      <c r="AK429" s="697"/>
      <c r="AL429" s="721"/>
      <c r="AM429"/>
      <c r="AN429" s="281"/>
    </row>
    <row r="430" spans="1:55" s="4" customFormat="1" ht="12.75" customHeight="1">
      <c r="A430" s="5"/>
      <c r="B430" s="73"/>
      <c r="C430" s="722"/>
      <c r="D430" s="73"/>
      <c r="E430" s="194"/>
      <c r="F430" s="1644"/>
      <c r="G430" s="1644"/>
      <c r="H430" s="1644"/>
      <c r="I430" s="1644"/>
      <c r="J430" s="1644"/>
      <c r="K430" s="1644"/>
      <c r="L430" s="1644"/>
      <c r="M430" s="1644"/>
      <c r="N430" s="1644"/>
      <c r="O430" s="1644"/>
      <c r="P430" s="1644"/>
      <c r="Q430" s="1644"/>
      <c r="R430" s="1644"/>
      <c r="S430" s="1644"/>
      <c r="T430" s="1644"/>
      <c r="U430" s="1644"/>
      <c r="V430" s="1644"/>
      <c r="W430" s="1644"/>
      <c r="X430" s="1644"/>
      <c r="Y430" s="1644"/>
      <c r="Z430" s="1644"/>
      <c r="AA430" s="1644"/>
      <c r="AB430" s="1644"/>
      <c r="AC430" s="1644"/>
      <c r="AD430" s="1644"/>
      <c r="AE430" s="1644"/>
      <c r="AF430" s="3"/>
      <c r="AG430" s="5"/>
      <c r="AL430" s="705"/>
      <c r="AM430"/>
      <c r="AN430" s="281"/>
    </row>
    <row r="431" spans="1:55" s="4" customFormat="1" ht="12.45" customHeight="1">
      <c r="A431" s="5"/>
      <c r="B431" s="73"/>
      <c r="C431" s="722"/>
      <c r="D431" s="73"/>
      <c r="E431" s="194"/>
      <c r="F431" s="1644"/>
      <c r="G431" s="1644"/>
      <c r="H431" s="1644"/>
      <c r="I431" s="1644"/>
      <c r="J431" s="1644"/>
      <c r="K431" s="1644"/>
      <c r="L431" s="1644"/>
      <c r="M431" s="1644"/>
      <c r="N431" s="1644"/>
      <c r="O431" s="1644"/>
      <c r="P431" s="1644"/>
      <c r="Q431" s="1644"/>
      <c r="R431" s="1644"/>
      <c r="S431" s="1644"/>
      <c r="T431" s="1644"/>
      <c r="U431" s="1644"/>
      <c r="V431" s="1644"/>
      <c r="W431" s="1644"/>
      <c r="X431" s="1644"/>
      <c r="Y431" s="1644"/>
      <c r="Z431" s="1644"/>
      <c r="AA431" s="1644"/>
      <c r="AB431" s="1644"/>
      <c r="AC431" s="1644"/>
      <c r="AD431" s="1644"/>
      <c r="AE431" s="1644"/>
      <c r="AL431" s="705"/>
      <c r="AM431"/>
      <c r="AN431" s="281"/>
    </row>
    <row r="432" spans="1:55" s="4" customFormat="1" ht="12.75" customHeight="1">
      <c r="A432" s="5"/>
      <c r="B432" s="73"/>
      <c r="C432" s="1697" t="s">
        <v>124</v>
      </c>
      <c r="D432" s="1115"/>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0" t="s">
        <v>319</v>
      </c>
      <c r="AG432" s="1690"/>
      <c r="AH432" s="1690"/>
      <c r="AI432" s="1690"/>
      <c r="AJ432" s="1690"/>
      <c r="AK432" s="1690"/>
      <c r="AL432" s="1705"/>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99" t="s">
        <v>1791</v>
      </c>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08"/>
      <c r="AG436" s="108"/>
      <c r="AH436" s="108"/>
      <c r="AI436" s="108"/>
      <c r="AJ436" s="108"/>
      <c r="AK436" s="108"/>
      <c r="AL436" s="784"/>
      <c r="AM436"/>
      <c r="AO436" s="4"/>
      <c r="AP436" s="4"/>
    </row>
    <row r="437" spans="1:60" s="4" customFormat="1" ht="12.75" customHeight="1">
      <c r="A437" s="5"/>
      <c r="B437" s="73"/>
      <c r="C437" s="722"/>
      <c r="D437" s="73"/>
      <c r="E437" s="194"/>
      <c r="F437" s="1644"/>
      <c r="G437" s="1644"/>
      <c r="H437" s="1644"/>
      <c r="I437" s="1644"/>
      <c r="J437" s="1644"/>
      <c r="K437" s="1644"/>
      <c r="L437" s="1644"/>
      <c r="M437" s="1644"/>
      <c r="N437" s="1644"/>
      <c r="O437" s="1644"/>
      <c r="P437" s="1644"/>
      <c r="Q437" s="1644"/>
      <c r="R437" s="1644"/>
      <c r="S437" s="1644"/>
      <c r="T437" s="1644"/>
      <c r="U437" s="1644"/>
      <c r="V437" s="1644"/>
      <c r="W437" s="1644"/>
      <c r="X437" s="1644"/>
      <c r="Y437" s="1644"/>
      <c r="Z437" s="1644"/>
      <c r="AA437" s="1644"/>
      <c r="AB437" s="1644"/>
      <c r="AC437" s="1644"/>
      <c r="AD437" s="1644"/>
      <c r="AE437" s="1644"/>
      <c r="AF437" s="108"/>
      <c r="AG437" s="108"/>
      <c r="AH437" s="108"/>
      <c r="AI437" s="108"/>
      <c r="AJ437" s="108"/>
      <c r="AK437" s="108"/>
      <c r="AL437" s="784"/>
      <c r="AM437"/>
      <c r="AN437" s="281"/>
    </row>
    <row r="438" spans="1:60" s="4" customFormat="1" ht="12.75" customHeight="1">
      <c r="A438" s="5"/>
      <c r="B438" s="73"/>
      <c r="C438" s="723"/>
      <c r="D438" s="1"/>
      <c r="E438" s="225"/>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4"/>
      <c r="G439" s="1644"/>
      <c r="H439" s="1644"/>
      <c r="I439" s="1644"/>
      <c r="J439" s="1644"/>
      <c r="K439" s="1644"/>
      <c r="L439" s="1644"/>
      <c r="M439" s="1644"/>
      <c r="N439" s="1644"/>
      <c r="O439" s="1644"/>
      <c r="P439" s="1644"/>
      <c r="Q439" s="1644"/>
      <c r="R439" s="1644"/>
      <c r="S439" s="1644"/>
      <c r="T439" s="1644"/>
      <c r="U439" s="1644"/>
      <c r="V439" s="1644"/>
      <c r="W439" s="1644"/>
      <c r="X439" s="1644"/>
      <c r="Y439" s="1644"/>
      <c r="Z439" s="1644"/>
      <c r="AA439" s="1644"/>
      <c r="AB439" s="1644"/>
      <c r="AC439" s="1644"/>
      <c r="AD439" s="1644"/>
      <c r="AE439" s="1644"/>
      <c r="AF439" s="108"/>
      <c r="AG439" s="108"/>
      <c r="AH439" s="108"/>
      <c r="AI439" s="108"/>
      <c r="AJ439" s="108"/>
      <c r="AK439" s="108"/>
      <c r="AL439" s="784"/>
      <c r="AM439"/>
      <c r="AN439" s="281"/>
    </row>
    <row r="440" spans="1:60" s="4" customFormat="1" ht="12.75" customHeight="1">
      <c r="A440" s="5"/>
      <c r="B440" s="73"/>
      <c r="C440" s="723"/>
      <c r="D440" s="1"/>
      <c r="E440" s="225"/>
      <c r="F440" s="1644"/>
      <c r="G440" s="1644"/>
      <c r="H440" s="1644"/>
      <c r="I440" s="1644"/>
      <c r="J440" s="1644"/>
      <c r="K440" s="1644"/>
      <c r="L440" s="1644"/>
      <c r="M440" s="1644"/>
      <c r="N440" s="1644"/>
      <c r="O440" s="1644"/>
      <c r="P440" s="1644"/>
      <c r="Q440" s="1644"/>
      <c r="R440" s="1644"/>
      <c r="S440" s="1644"/>
      <c r="T440" s="1644"/>
      <c r="U440" s="1644"/>
      <c r="V440" s="1644"/>
      <c r="W440" s="1644"/>
      <c r="X440" s="1644"/>
      <c r="Y440" s="1644"/>
      <c r="Z440" s="1644"/>
      <c r="AA440" s="1644"/>
      <c r="AB440" s="1644"/>
      <c r="AC440" s="1644"/>
      <c r="AD440" s="1644"/>
      <c r="AE440" s="1644"/>
      <c r="AF440" s="108"/>
      <c r="AG440" s="108"/>
      <c r="AH440" s="108"/>
      <c r="AI440" s="108"/>
      <c r="AJ440" s="108"/>
      <c r="AK440" s="108"/>
      <c r="AL440" s="784"/>
      <c r="AM440"/>
      <c r="AN440" s="281"/>
    </row>
    <row r="441" spans="1:60" s="4" customFormat="1" ht="12.75" customHeight="1">
      <c r="A441" s="5"/>
      <c r="B441" s="73"/>
      <c r="C441" s="723"/>
      <c r="D441" s="1"/>
      <c r="E441" s="225"/>
      <c r="F441" s="1644"/>
      <c r="G441" s="1644"/>
      <c r="H441" s="1644"/>
      <c r="I441" s="1644"/>
      <c r="J441" s="1644"/>
      <c r="K441" s="1644"/>
      <c r="L441" s="1644"/>
      <c r="M441" s="1644"/>
      <c r="N441" s="1644"/>
      <c r="O441" s="1644"/>
      <c r="P441" s="1644"/>
      <c r="Q441" s="1644"/>
      <c r="R441" s="1644"/>
      <c r="S441" s="1644"/>
      <c r="T441" s="1644"/>
      <c r="U441" s="1644"/>
      <c r="V441" s="1644"/>
      <c r="W441" s="1644"/>
      <c r="X441" s="1644"/>
      <c r="Y441" s="1644"/>
      <c r="Z441" s="1644"/>
      <c r="AA441" s="1644"/>
      <c r="AB441" s="1644"/>
      <c r="AC441" s="1644"/>
      <c r="AD441" s="1644"/>
      <c r="AE441" s="1644"/>
      <c r="AF441" s="108"/>
      <c r="AG441" s="108"/>
      <c r="AH441" s="108"/>
      <c r="AI441" s="108"/>
      <c r="AJ441" s="108"/>
      <c r="AK441" s="108"/>
      <c r="AL441" s="784"/>
      <c r="AM441"/>
      <c r="AN441" s="281"/>
    </row>
    <row r="442" spans="1:60" s="4" customFormat="1" ht="12.75" customHeight="1">
      <c r="A442" s="5"/>
      <c r="B442" s="73"/>
      <c r="C442" s="723"/>
      <c r="D442" s="1"/>
      <c r="E442" s="225"/>
      <c r="F442" s="1644"/>
      <c r="G442" s="1644"/>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08"/>
      <c r="AG442" s="108"/>
      <c r="AH442" s="108"/>
      <c r="AI442" s="108"/>
      <c r="AJ442" s="108"/>
      <c r="AK442" s="108"/>
      <c r="AL442" s="784"/>
      <c r="AM442"/>
      <c r="AN442" s="281"/>
    </row>
    <row r="443" spans="1:60" s="4" customFormat="1" ht="17.25" customHeight="1">
      <c r="A443" s="5"/>
      <c r="B443" s="73"/>
      <c r="C443" s="723"/>
      <c r="D443" s="1"/>
      <c r="E443" s="225"/>
      <c r="F443" s="1644"/>
      <c r="G443" s="1644"/>
      <c r="H443" s="1644"/>
      <c r="I443" s="1644"/>
      <c r="J443" s="1644"/>
      <c r="K443" s="1644"/>
      <c r="L443" s="1644"/>
      <c r="M443" s="1644"/>
      <c r="N443" s="1644"/>
      <c r="O443" s="1644"/>
      <c r="P443" s="1644"/>
      <c r="Q443" s="1644"/>
      <c r="R443" s="1644"/>
      <c r="S443" s="1644"/>
      <c r="T443" s="1644"/>
      <c r="U443" s="1644"/>
      <c r="V443" s="1644"/>
      <c r="W443" s="1644"/>
      <c r="X443" s="1644"/>
      <c r="Y443" s="1644"/>
      <c r="Z443" s="1644"/>
      <c r="AA443" s="1644"/>
      <c r="AB443" s="1644"/>
      <c r="AC443" s="1644"/>
      <c r="AD443" s="1644"/>
      <c r="AE443" s="1644"/>
      <c r="AL443" s="705"/>
      <c r="AM443"/>
      <c r="AN443" s="281"/>
    </row>
    <row r="444" spans="1:60" s="4" customFormat="1" ht="12.75" customHeight="1">
      <c r="A444" s="5"/>
      <c r="B444" s="21"/>
      <c r="C444" s="1697" t="s">
        <v>124</v>
      </c>
      <c r="D444" s="1115"/>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0" t="s">
        <v>319</v>
      </c>
      <c r="AG444" s="1690"/>
      <c r="AH444" s="1690"/>
      <c r="AI444" s="1690"/>
      <c r="AJ444" s="1690"/>
      <c r="AK444" s="1690"/>
      <c r="AL444" s="170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9" t="s">
        <v>1794</v>
      </c>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697"/>
      <c r="AG447" s="697"/>
      <c r="AH447" s="697"/>
      <c r="AI447" s="697"/>
      <c r="AJ447" s="697"/>
      <c r="AK447" s="697"/>
      <c r="AL447" s="721"/>
      <c r="AM447"/>
      <c r="AN447" s="281"/>
    </row>
    <row r="448" spans="1:60" s="4" customFormat="1" ht="12.75" customHeight="1">
      <c r="A448" s="5"/>
      <c r="B448" s="73"/>
      <c r="C448" s="723"/>
      <c r="D448" s="1"/>
      <c r="E448" s="225"/>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
      <c r="AG448" s="18"/>
      <c r="AH448" s="18"/>
      <c r="AI448" s="18"/>
      <c r="AJ448" s="18"/>
      <c r="AK448" s="18"/>
      <c r="AL448" s="781"/>
      <c r="AM448"/>
      <c r="AN448" s="281"/>
    </row>
    <row r="449" spans="1:49" s="4" customFormat="1" ht="12.75" customHeight="1">
      <c r="A449" s="5"/>
      <c r="B449" s="73"/>
      <c r="C449" s="723"/>
      <c r="D449" s="1"/>
      <c r="E449" s="225"/>
      <c r="F449" s="1644"/>
      <c r="G449" s="1644"/>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8"/>
      <c r="AG449" s="18"/>
      <c r="AH449" s="18"/>
      <c r="AI449" s="18"/>
      <c r="AJ449" s="18"/>
      <c r="AK449" s="18"/>
      <c r="AL449" s="781"/>
      <c r="AM449"/>
      <c r="AN449" s="281"/>
    </row>
    <row r="450" spans="1:49" s="4" customFormat="1" ht="12.75" customHeight="1">
      <c r="A450" s="5"/>
      <c r="B450" s="73"/>
      <c r="C450" s="723"/>
      <c r="D450" s="1"/>
      <c r="E450" s="225"/>
      <c r="F450" s="1644"/>
      <c r="G450" s="1644"/>
      <c r="H450" s="1644"/>
      <c r="I450" s="1644"/>
      <c r="J450" s="1644"/>
      <c r="K450" s="1644"/>
      <c r="L450" s="1644"/>
      <c r="M450" s="1644"/>
      <c r="N450" s="1644"/>
      <c r="O450" s="1644"/>
      <c r="P450" s="1644"/>
      <c r="Q450" s="1644"/>
      <c r="R450" s="1644"/>
      <c r="S450" s="1644"/>
      <c r="T450" s="1644"/>
      <c r="U450" s="1644"/>
      <c r="V450" s="1644"/>
      <c r="W450" s="1644"/>
      <c r="X450" s="1644"/>
      <c r="Y450" s="1644"/>
      <c r="Z450" s="1644"/>
      <c r="AA450" s="1644"/>
      <c r="AB450" s="1644"/>
      <c r="AC450" s="1644"/>
      <c r="AD450" s="1644"/>
      <c r="AE450" s="1644"/>
      <c r="AL450" s="705"/>
      <c r="AM450"/>
      <c r="AN450" s="281"/>
    </row>
    <row r="451" spans="1:49" s="4" customFormat="1" ht="12.75" customHeight="1">
      <c r="A451" s="5"/>
      <c r="B451" s="73"/>
      <c r="C451" s="1697" t="s">
        <v>124</v>
      </c>
      <c r="D451" s="1115"/>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0" t="s">
        <v>319</v>
      </c>
      <c r="AG451" s="1690"/>
      <c r="AH451" s="1690"/>
      <c r="AI451" s="1690"/>
      <c r="AJ451" s="1690"/>
      <c r="AK451" s="1690"/>
      <c r="AL451" s="170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3" t="s">
        <v>124</v>
      </c>
      <c r="D455" s="1704"/>
      <c r="E455" s="698" t="s">
        <v>967</v>
      </c>
      <c r="F455" s="1699" t="s">
        <v>969</v>
      </c>
      <c r="G455" s="1699"/>
      <c r="H455" s="1699"/>
      <c r="I455" s="1699"/>
      <c r="J455" s="1699"/>
      <c r="K455" s="1699"/>
      <c r="L455" s="1699"/>
      <c r="M455" s="1699"/>
      <c r="N455" s="1699"/>
      <c r="O455" s="1699"/>
      <c r="P455" s="1699"/>
      <c r="Q455" s="1699"/>
      <c r="R455" s="1699"/>
      <c r="S455" s="1699"/>
      <c r="T455" s="1699"/>
      <c r="U455" s="1699"/>
      <c r="V455" s="1699"/>
      <c r="W455" s="1699"/>
      <c r="X455" s="1699"/>
      <c r="Y455" s="1699"/>
      <c r="Z455" s="1699"/>
      <c r="AA455" s="1699"/>
      <c r="AB455" s="1699"/>
      <c r="AC455" s="1699"/>
      <c r="AD455" s="1699"/>
      <c r="AE455" s="1699"/>
      <c r="AF455" s="1867" t="s">
        <v>319</v>
      </c>
      <c r="AG455" s="1867"/>
      <c r="AH455" s="1867"/>
      <c r="AI455" s="1867"/>
      <c r="AJ455" s="1867"/>
      <c r="AK455" s="1867"/>
      <c r="AL455" s="1868"/>
      <c r="AM455"/>
      <c r="AN455" s="674"/>
      <c r="AQ455" s="166"/>
    </row>
    <row r="456" spans="1:49" s="4" customFormat="1" ht="12.75" customHeight="1">
      <c r="A456" s="5"/>
      <c r="B456" s="73"/>
      <c r="C456" s="723"/>
      <c r="D456" s="1"/>
      <c r="E456" s="225"/>
      <c r="F456" s="1644"/>
      <c r="G456" s="1644"/>
      <c r="H456" s="1644"/>
      <c r="I456" s="1644"/>
      <c r="J456" s="1644"/>
      <c r="K456" s="1644"/>
      <c r="L456" s="1644"/>
      <c r="M456" s="1644"/>
      <c r="N456" s="1644"/>
      <c r="O456" s="1644"/>
      <c r="P456" s="1644"/>
      <c r="Q456" s="1644"/>
      <c r="R456" s="1644"/>
      <c r="S456" s="1644"/>
      <c r="T456" s="1644"/>
      <c r="U456" s="1644"/>
      <c r="V456" s="1644"/>
      <c r="W456" s="1644"/>
      <c r="X456" s="1644"/>
      <c r="Y456" s="1644"/>
      <c r="Z456" s="1644"/>
      <c r="AA456" s="1644"/>
      <c r="AB456" s="1644"/>
      <c r="AC456" s="1644"/>
      <c r="AD456" s="1644"/>
      <c r="AE456" s="1644"/>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3" t="s">
        <v>124</v>
      </c>
      <c r="D459" s="1704"/>
      <c r="E459" s="698" t="s">
        <v>968</v>
      </c>
      <c r="F459" s="1699" t="s">
        <v>1831</v>
      </c>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67" t="s">
        <v>319</v>
      </c>
      <c r="AG459" s="1867"/>
      <c r="AH459" s="1867"/>
      <c r="AI459" s="1867"/>
      <c r="AJ459" s="1867"/>
      <c r="AK459" s="1867"/>
      <c r="AL459" s="1868"/>
      <c r="AM459"/>
      <c r="AN459" s="670"/>
      <c r="AO459" s="4" t="s">
        <v>1335</v>
      </c>
      <c r="AP459" s="4">
        <v>5</v>
      </c>
      <c r="AQ459" s="5"/>
    </row>
    <row r="460" spans="1:49" s="4" customFormat="1" ht="12.75" customHeight="1">
      <c r="A460" s="5"/>
      <c r="B460" s="21"/>
      <c r="C460" s="704"/>
      <c r="D460" s="21"/>
      <c r="E460" s="194"/>
      <c r="F460" s="1644"/>
      <c r="G460" s="1644"/>
      <c r="H460" s="1644"/>
      <c r="I460" s="1644"/>
      <c r="J460" s="1644"/>
      <c r="K460" s="1644"/>
      <c r="L460" s="1644"/>
      <c r="M460" s="1644"/>
      <c r="N460" s="1644"/>
      <c r="O460" s="1644"/>
      <c r="P460" s="1644"/>
      <c r="Q460" s="1644"/>
      <c r="R460" s="1644"/>
      <c r="S460" s="1644"/>
      <c r="T460" s="1644"/>
      <c r="U460" s="1644"/>
      <c r="V460" s="1644"/>
      <c r="W460" s="1644"/>
      <c r="X460" s="1644"/>
      <c r="Y460" s="1644"/>
      <c r="Z460" s="1644"/>
      <c r="AA460" s="1644"/>
      <c r="AB460" s="1644"/>
      <c r="AC460" s="1644"/>
      <c r="AD460" s="1644"/>
      <c r="AE460" s="1644"/>
      <c r="AF460" s="3"/>
      <c r="AG460" s="5"/>
      <c r="AL460" s="705"/>
      <c r="AM460"/>
      <c r="AN460" s="670"/>
      <c r="AO460" s="4" t="s">
        <v>1331</v>
      </c>
      <c r="AP460" s="4">
        <v>5</v>
      </c>
    </row>
    <row r="461" spans="1:49" s="4" customFormat="1" ht="12.75" customHeight="1">
      <c r="A461" s="5"/>
      <c r="B461" s="21"/>
      <c r="C461" s="704"/>
      <c r="D461" s="21"/>
      <c r="E461" s="194"/>
      <c r="F461" s="1644"/>
      <c r="G461" s="1644"/>
      <c r="H461" s="1644"/>
      <c r="I461" s="1644"/>
      <c r="J461" s="1644"/>
      <c r="K461" s="1644"/>
      <c r="L461" s="1644"/>
      <c r="M461" s="1644"/>
      <c r="N461" s="1644"/>
      <c r="O461" s="1644"/>
      <c r="P461" s="1644"/>
      <c r="Q461" s="1644"/>
      <c r="R461" s="1644"/>
      <c r="S461" s="1644"/>
      <c r="T461" s="1644"/>
      <c r="U461" s="1644"/>
      <c r="V461" s="1644"/>
      <c r="W461" s="1644"/>
      <c r="X461" s="1644"/>
      <c r="Y461" s="1644"/>
      <c r="Z461" s="1644"/>
      <c r="AA461" s="1644"/>
      <c r="AB461" s="1644"/>
      <c r="AC461" s="1644"/>
      <c r="AD461" s="1644"/>
      <c r="AE461" s="1644"/>
      <c r="AF461" s="3"/>
      <c r="AG461" s="5"/>
      <c r="AL461" s="705"/>
      <c r="AM461"/>
      <c r="AN461" s="670"/>
      <c r="AO461" s="4" t="s">
        <v>1332</v>
      </c>
      <c r="AP461" s="4">
        <v>5</v>
      </c>
    </row>
    <row r="462" spans="1:49" s="4" customFormat="1" ht="4.5" customHeight="1">
      <c r="A462" s="5"/>
      <c r="B462" s="73"/>
      <c r="C462" s="700"/>
      <c r="D462" s="701"/>
      <c r="E462" s="702"/>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9" t="s">
        <v>1832</v>
      </c>
      <c r="G464" s="1699"/>
      <c r="H464" s="1699"/>
      <c r="I464" s="1699"/>
      <c r="J464" s="1699"/>
      <c r="K464" s="1699"/>
      <c r="L464" s="1699"/>
      <c r="M464" s="1699"/>
      <c r="N464" s="1699"/>
      <c r="O464" s="1699"/>
      <c r="P464" s="1699"/>
      <c r="Q464" s="1699"/>
      <c r="R464" s="1699"/>
      <c r="S464" s="1699"/>
      <c r="T464" s="1699"/>
      <c r="U464" s="1699"/>
      <c r="V464" s="1699"/>
      <c r="W464" s="1699"/>
      <c r="X464" s="1699"/>
      <c r="Y464" s="1699"/>
      <c r="Z464" s="1699"/>
      <c r="AA464" s="1699"/>
      <c r="AB464" s="1699"/>
      <c r="AC464" s="1699"/>
      <c r="AD464" s="1699"/>
      <c r="AE464" s="1699"/>
      <c r="AF464" s="1699"/>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4"/>
      <c r="G465" s="1644"/>
      <c r="H465" s="1644"/>
      <c r="I465" s="1644"/>
      <c r="J465" s="1644"/>
      <c r="K465" s="1644"/>
      <c r="L465" s="1644"/>
      <c r="M465" s="1644"/>
      <c r="N465" s="1644"/>
      <c r="O465" s="1644"/>
      <c r="P465" s="1644"/>
      <c r="Q465" s="1644"/>
      <c r="R465" s="1644"/>
      <c r="S465" s="1644"/>
      <c r="T465" s="1644"/>
      <c r="U465" s="1644"/>
      <c r="V465" s="1644"/>
      <c r="W465" s="1644"/>
      <c r="X465" s="1644"/>
      <c r="Y465" s="1644"/>
      <c r="Z465" s="1644"/>
      <c r="AA465" s="1644"/>
      <c r="AB465" s="1644"/>
      <c r="AC465" s="1644"/>
      <c r="AD465" s="1644"/>
      <c r="AE465" s="1644"/>
      <c r="AF465" s="1644"/>
      <c r="AL465" s="705"/>
      <c r="AM465"/>
      <c r="AN465" s="281"/>
      <c r="AS465" s="345"/>
      <c r="AW465" s="345" t="s">
        <v>975</v>
      </c>
      <c r="BA465" s="345" t="s">
        <v>976</v>
      </c>
    </row>
    <row r="466" spans="1:54" s="4" customFormat="1" ht="12.75" customHeight="1">
      <c r="A466" s="5"/>
      <c r="B466" s="21"/>
      <c r="C466" s="707"/>
      <c r="F466" s="1644"/>
      <c r="G466" s="1644"/>
      <c r="H466" s="1644"/>
      <c r="I466" s="1644"/>
      <c r="J466" s="1644"/>
      <c r="K466" s="1644"/>
      <c r="L466" s="1644"/>
      <c r="M466" s="1644"/>
      <c r="N466" s="1644"/>
      <c r="O466" s="1644"/>
      <c r="P466" s="1644"/>
      <c r="Q466" s="1644"/>
      <c r="R466" s="1644"/>
      <c r="S466" s="1644"/>
      <c r="T466" s="1644"/>
      <c r="U466" s="1644"/>
      <c r="V466" s="1644"/>
      <c r="W466" s="1644"/>
      <c r="X466" s="1644"/>
      <c r="Y466" s="1644"/>
      <c r="Z466" s="1644"/>
      <c r="AA466" s="1644"/>
      <c r="AB466" s="1644"/>
      <c r="AC466" s="1644"/>
      <c r="AD466" s="1644"/>
      <c r="AE466" s="1644"/>
      <c r="AF466" s="1644"/>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4"/>
      <c r="G467" s="1644"/>
      <c r="H467" s="1644"/>
      <c r="I467" s="1644"/>
      <c r="J467" s="1644"/>
      <c r="K467" s="1644"/>
      <c r="L467" s="1644"/>
      <c r="M467" s="1644"/>
      <c r="N467" s="1644"/>
      <c r="O467" s="1644"/>
      <c r="P467" s="1644"/>
      <c r="Q467" s="1644"/>
      <c r="R467" s="1644"/>
      <c r="S467" s="1644"/>
      <c r="T467" s="1644"/>
      <c r="U467" s="1644"/>
      <c r="V467" s="1644"/>
      <c r="W467" s="1644"/>
      <c r="X467" s="1644"/>
      <c r="Y467" s="1644"/>
      <c r="Z467" s="1644"/>
      <c r="AA467" s="1644"/>
      <c r="AB467" s="1644"/>
      <c r="AC467" s="1644"/>
      <c r="AD467" s="1644"/>
      <c r="AE467" s="1644"/>
      <c r="AF467" s="1644"/>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97" t="s">
        <v>124</v>
      </c>
      <c r="D468" s="1115"/>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4" t="s">
        <v>319</v>
      </c>
      <c r="AG468" s="1544"/>
      <c r="AH468" s="1544"/>
      <c r="AI468" s="1544"/>
      <c r="AJ468" s="1544"/>
      <c r="AK468" s="1544"/>
      <c r="AL468" s="1698"/>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4" t="s">
        <v>1257</v>
      </c>
      <c r="AF477" s="1544"/>
      <c r="AG477" s="1544"/>
      <c r="AH477" s="1544"/>
      <c r="AI477" s="1544"/>
      <c r="AJ477" s="1544"/>
      <c r="AK477" s="1544"/>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6" t="s">
        <v>124</v>
      </c>
      <c r="D483" s="1707"/>
      <c r="E483" s="749" t="s">
        <v>195</v>
      </c>
      <c r="F483" s="1708" t="s">
        <v>972</v>
      </c>
      <c r="G483" s="1708"/>
      <c r="H483" s="1708"/>
      <c r="I483" s="1708"/>
      <c r="J483" s="1708"/>
      <c r="K483" s="1708"/>
      <c r="L483" s="1708"/>
      <c r="M483" s="1708"/>
      <c r="N483" s="1708"/>
      <c r="O483" s="1708"/>
      <c r="P483" s="1708"/>
      <c r="Q483" s="1708"/>
      <c r="R483" s="1708"/>
      <c r="S483" s="1708"/>
      <c r="T483" s="1708"/>
      <c r="U483" s="1708"/>
      <c r="V483" s="1708"/>
      <c r="W483" s="1708"/>
      <c r="X483" s="1708"/>
      <c r="Y483" s="1708"/>
      <c r="Z483" s="1708"/>
      <c r="AA483" s="1708"/>
      <c r="AB483" s="1708"/>
      <c r="AC483" s="1708"/>
      <c r="AD483" s="1708"/>
      <c r="AE483" s="1708"/>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09"/>
      <c r="G484" s="1709"/>
      <c r="H484" s="1709"/>
      <c r="I484" s="1709"/>
      <c r="J484" s="1709"/>
      <c r="K484" s="1709"/>
      <c r="L484" s="1709"/>
      <c r="M484" s="1709"/>
      <c r="N484" s="1709"/>
      <c r="O484" s="1709"/>
      <c r="P484" s="1709"/>
      <c r="Q484" s="1709"/>
      <c r="R484" s="1709"/>
      <c r="S484" s="1709"/>
      <c r="T484" s="1709"/>
      <c r="U484" s="1709"/>
      <c r="V484" s="1709"/>
      <c r="W484" s="1709"/>
      <c r="X484" s="1709"/>
      <c r="Y484" s="1709"/>
      <c r="Z484" s="1709"/>
      <c r="AA484" s="1709"/>
      <c r="AB484" s="1709"/>
      <c r="AC484" s="1709"/>
      <c r="AD484" s="1709"/>
      <c r="AE484" s="1709"/>
      <c r="AG484" s="19"/>
      <c r="AH484" s="19"/>
      <c r="AI484" s="19"/>
      <c r="AJ484" s="19"/>
      <c r="AK484" s="705"/>
      <c r="AN484" s="281"/>
      <c r="AO484" s="4" t="s">
        <v>1334</v>
      </c>
      <c r="AP484" s="4">
        <v>1</v>
      </c>
    </row>
    <row r="485" spans="1:50" s="4" customFormat="1" ht="12.75" hidden="1" customHeight="1">
      <c r="C485" s="727"/>
      <c r="D485" s="714"/>
      <c r="E485" s="728"/>
      <c r="F485" s="1795" t="s">
        <v>124</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3" t="s">
        <v>108</v>
      </c>
      <c r="D487" s="1704"/>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3" t="s">
        <v>124</v>
      </c>
      <c r="W490" s="1683"/>
      <c r="X490" s="1683"/>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3" t="s">
        <v>124</v>
      </c>
      <c r="W492" s="1683"/>
      <c r="X492" s="1683"/>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3" t="s">
        <v>124</v>
      </c>
      <c r="W497" s="1683"/>
      <c r="X497" s="1683"/>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3" t="s">
        <v>124</v>
      </c>
      <c r="W501" s="1683"/>
      <c r="X501" s="1683"/>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3" t="s">
        <v>124</v>
      </c>
      <c r="W503" s="1683"/>
      <c r="X503" s="1683"/>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1" t="s">
        <v>657</v>
      </c>
      <c r="AV504" s="1872"/>
      <c r="AW504" s="1872"/>
      <c r="AX504" s="1872"/>
      <c r="AY504" s="1872"/>
      <c r="AZ504" s="1872"/>
      <c r="BA504" s="1872"/>
      <c r="BB504" s="20"/>
      <c r="BC504" s="20"/>
      <c r="BE504" s="4"/>
      <c r="BF504" s="4"/>
      <c r="BG504" s="4"/>
      <c r="BH504" s="4"/>
      <c r="BI504" s="4"/>
      <c r="BJ504" s="1810" t="s">
        <v>30</v>
      </c>
      <c r="BK504" s="1811"/>
      <c r="BL504" s="1811"/>
      <c r="BM504" s="1811"/>
      <c r="BN504" s="1811"/>
      <c r="BO504" s="1811"/>
      <c r="BP504" s="181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1"/>
      <c r="AV505" s="1872"/>
      <c r="AW505" s="1872"/>
      <c r="AX505" s="1872"/>
      <c r="AY505" s="1872"/>
      <c r="AZ505" s="1872"/>
      <c r="BA505" s="1872"/>
      <c r="BB505" s="20"/>
      <c r="BC505" s="20"/>
      <c r="BE505" s="4"/>
      <c r="BF505" s="4"/>
      <c r="BG505" s="4"/>
      <c r="BH505" s="4"/>
      <c r="BI505" s="4"/>
      <c r="BJ505" s="1810"/>
      <c r="BK505" s="1811"/>
      <c r="BL505" s="1811"/>
      <c r="BM505" s="1811"/>
      <c r="BN505" s="1811"/>
      <c r="BO505" s="1811"/>
      <c r="BP505" s="1811"/>
      <c r="BQ505" s="20"/>
      <c r="BR505" s="4"/>
    </row>
    <row r="506" spans="1:147" customFormat="1" ht="12.75" hidden="1" customHeight="1">
      <c r="A506" s="120"/>
      <c r="B506" s="4"/>
      <c r="C506" s="1706" t="s">
        <v>124</v>
      </c>
      <c r="D506" s="1707"/>
      <c r="E506" s="742" t="s">
        <v>195</v>
      </c>
      <c r="F506" s="1708" t="s">
        <v>972</v>
      </c>
      <c r="G506" s="1708"/>
      <c r="H506" s="1708"/>
      <c r="I506" s="1708"/>
      <c r="J506" s="1708"/>
      <c r="K506" s="1708"/>
      <c r="L506" s="1708"/>
      <c r="M506" s="1708"/>
      <c r="N506" s="1708"/>
      <c r="O506" s="1708"/>
      <c r="P506" s="1708"/>
      <c r="Q506" s="1708"/>
      <c r="R506" s="1708"/>
      <c r="S506" s="1708"/>
      <c r="T506" s="1708"/>
      <c r="U506" s="1708"/>
      <c r="V506" s="1708"/>
      <c r="W506" s="1708"/>
      <c r="X506" s="1708"/>
      <c r="Y506" s="1708"/>
      <c r="Z506" s="1708"/>
      <c r="AA506" s="1708"/>
      <c r="AB506" s="1708"/>
      <c r="AC506" s="1708"/>
      <c r="AD506" s="1708"/>
      <c r="AE506" s="170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9"/>
      <c r="G507" s="1709"/>
      <c r="H507" s="1709"/>
      <c r="I507" s="1709"/>
      <c r="J507" s="1709"/>
      <c r="K507" s="1709"/>
      <c r="L507" s="1709"/>
      <c r="M507" s="1709"/>
      <c r="N507" s="1709"/>
      <c r="O507" s="1709"/>
      <c r="P507" s="1709"/>
      <c r="Q507" s="1709"/>
      <c r="R507" s="1709"/>
      <c r="S507" s="1709"/>
      <c r="T507" s="1709"/>
      <c r="U507" s="1709"/>
      <c r="V507" s="1709"/>
      <c r="W507" s="1709"/>
      <c r="X507" s="1709"/>
      <c r="Y507" s="1709"/>
      <c r="Z507" s="1709"/>
      <c r="AA507" s="1709"/>
      <c r="AB507" s="1709"/>
      <c r="AC507" s="1709"/>
      <c r="AD507" s="1709"/>
      <c r="AE507" s="1709"/>
      <c r="AF507" s="4"/>
      <c r="AG507" s="19"/>
      <c r="AH507" s="19"/>
      <c r="AI507" s="19"/>
      <c r="AJ507" s="19"/>
      <c r="AK507" s="705"/>
      <c r="AL507" s="4"/>
      <c r="AM507" s="4"/>
      <c r="AN507" s="669"/>
      <c r="AO507" s="38"/>
      <c r="AP507" s="1281" t="s">
        <v>1498</v>
      </c>
      <c r="AQ507" s="1282"/>
      <c r="AR507" s="1283"/>
      <c r="AS507" s="624">
        <v>80</v>
      </c>
      <c r="AT507" s="4">
        <v>0</v>
      </c>
      <c r="AU507" s="160">
        <v>10</v>
      </c>
      <c r="AV507" s="160">
        <v>25</v>
      </c>
      <c r="AW507" s="160">
        <v>37.5</v>
      </c>
      <c r="AX507" s="160">
        <v>35</v>
      </c>
      <c r="AY507" s="160">
        <v>37.5</v>
      </c>
      <c r="AZ507" s="160">
        <v>50</v>
      </c>
      <c r="BA507" s="160">
        <v>50</v>
      </c>
      <c r="BB507" s="21"/>
      <c r="BC507" s="21"/>
      <c r="BE507" s="1281" t="s">
        <v>1498</v>
      </c>
      <c r="BF507" s="1282"/>
      <c r="BG507" s="1283"/>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4" t="s">
        <v>124</v>
      </c>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729"/>
      <c r="AB508" s="730"/>
      <c r="AC508" s="730"/>
      <c r="AD508" s="714"/>
      <c r="AE508" s="714"/>
      <c r="AF508" s="714"/>
      <c r="AG508" s="731">
        <f>IF($C$506="Yes",(VLOOKUP($F$508,$AO$476:$AP$484,2,FALSE)),0)</f>
        <v>0</v>
      </c>
      <c r="AH508" s="732" t="s">
        <v>974</v>
      </c>
      <c r="AI508" s="731"/>
      <c r="AJ508" s="730"/>
      <c r="AK508" s="715"/>
      <c r="AL508" s="4"/>
      <c r="AM508" s="4"/>
      <c r="AN508" s="669"/>
      <c r="AO508" s="38"/>
      <c r="AP508" s="1284"/>
      <c r="AQ508" s="1285"/>
      <c r="AR508" s="1286"/>
      <c r="AS508" s="624">
        <v>75</v>
      </c>
      <c r="AT508" s="4">
        <v>0</v>
      </c>
      <c r="AU508" s="160">
        <v>10</v>
      </c>
      <c r="AV508" s="160">
        <v>25</v>
      </c>
      <c r="AW508" s="160">
        <v>37.5</v>
      </c>
      <c r="AX508" s="160">
        <v>35</v>
      </c>
      <c r="AY508" s="160">
        <v>37.5</v>
      </c>
      <c r="AZ508" s="160">
        <v>50</v>
      </c>
      <c r="BA508" s="160">
        <v>50</v>
      </c>
      <c r="BB508" s="21"/>
      <c r="BC508" s="21"/>
      <c r="BE508" s="1284"/>
      <c r="BF508" s="1285"/>
      <c r="BG508" s="1286"/>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4"/>
      <c r="AQ509" s="1285"/>
      <c r="AR509" s="1286"/>
      <c r="AS509" s="624">
        <v>70</v>
      </c>
      <c r="AT509" s="4">
        <v>0</v>
      </c>
      <c r="AU509" s="160">
        <v>10</v>
      </c>
      <c r="AV509" s="160">
        <v>25</v>
      </c>
      <c r="AW509" s="160">
        <v>37.5</v>
      </c>
      <c r="AX509" s="160">
        <v>35</v>
      </c>
      <c r="AY509" s="160">
        <v>37.5</v>
      </c>
      <c r="AZ509" s="160">
        <v>50</v>
      </c>
      <c r="BA509" s="160">
        <v>50</v>
      </c>
      <c r="BB509" s="21"/>
      <c r="BC509" s="21"/>
      <c r="BE509" s="1284"/>
      <c r="BF509" s="1285"/>
      <c r="BG509" s="1286"/>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6" t="s">
        <v>124</v>
      </c>
      <c r="D510" s="1707"/>
      <c r="E510" s="742" t="s">
        <v>302</v>
      </c>
      <c r="F510" s="1710" t="s">
        <v>1158</v>
      </c>
      <c r="G510" s="1710"/>
      <c r="H510" s="1710"/>
      <c r="I510" s="1710"/>
      <c r="J510" s="1710"/>
      <c r="K510" s="1710"/>
      <c r="L510" s="1710"/>
      <c r="M510" s="1710"/>
      <c r="N510" s="1710"/>
      <c r="O510" s="1710"/>
      <c r="P510" s="1710"/>
      <c r="Q510" s="1710"/>
      <c r="R510" s="1710"/>
      <c r="S510" s="1710"/>
      <c r="T510" s="1710"/>
      <c r="U510" s="1710"/>
      <c r="V510" s="1710"/>
      <c r="W510" s="1710"/>
      <c r="X510" s="1710"/>
      <c r="Y510" s="1710"/>
      <c r="Z510" s="1710"/>
      <c r="AA510" s="1710"/>
      <c r="AB510" s="1710"/>
      <c r="AC510" s="1710"/>
      <c r="AD510" s="1710"/>
      <c r="AE510" s="1710"/>
      <c r="AF510" s="697"/>
      <c r="AG510" s="734"/>
      <c r="AH510" s="734"/>
      <c r="AI510" s="734"/>
      <c r="AJ510" s="734"/>
      <c r="AK510" s="721"/>
      <c r="AL510" s="4"/>
      <c r="AM510" s="4"/>
      <c r="AN510" s="669"/>
      <c r="AO510" s="38"/>
      <c r="AP510" s="1284"/>
      <c r="AQ510" s="1285"/>
      <c r="AR510" s="1286"/>
      <c r="AS510" s="624">
        <v>65</v>
      </c>
      <c r="AT510" s="4">
        <v>0</v>
      </c>
      <c r="AU510" s="160">
        <v>10</v>
      </c>
      <c r="AV510" s="160">
        <v>25</v>
      </c>
      <c r="AW510" s="160">
        <v>37.5</v>
      </c>
      <c r="AX510" s="160">
        <v>35</v>
      </c>
      <c r="AY510" s="160">
        <v>37.5</v>
      </c>
      <c r="AZ510" s="160">
        <v>50</v>
      </c>
      <c r="BA510" s="160">
        <v>50</v>
      </c>
      <c r="BB510" s="21"/>
      <c r="BC510" s="21"/>
      <c r="BE510" s="1284"/>
      <c r="BF510" s="1285"/>
      <c r="BG510" s="1286"/>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1"/>
      <c r="G511" s="1711"/>
      <c r="H511" s="1711"/>
      <c r="I511" s="1711"/>
      <c r="J511" s="1711"/>
      <c r="K511" s="1711"/>
      <c r="L511" s="1711"/>
      <c r="M511" s="1711"/>
      <c r="N511" s="1711"/>
      <c r="O511" s="1711"/>
      <c r="P511" s="1711"/>
      <c r="Q511" s="1711"/>
      <c r="R511" s="1711"/>
      <c r="S511" s="1711"/>
      <c r="T511" s="1711"/>
      <c r="U511" s="1711"/>
      <c r="V511" s="1711"/>
      <c r="W511" s="1711"/>
      <c r="X511" s="1711"/>
      <c r="Y511" s="1711"/>
      <c r="Z511" s="1711"/>
      <c r="AA511" s="1711"/>
      <c r="AB511" s="1711"/>
      <c r="AC511" s="1711"/>
      <c r="AD511" s="1711"/>
      <c r="AE511" s="1711"/>
      <c r="AF511" s="4"/>
      <c r="AG511" s="19"/>
      <c r="AH511" s="19"/>
      <c r="AI511" s="19"/>
      <c r="AJ511" s="19"/>
      <c r="AK511" s="705"/>
      <c r="AL511" s="4"/>
      <c r="AM511" s="4"/>
      <c r="AN511" s="669"/>
      <c r="AO511" s="38"/>
      <c r="AP511" s="1284"/>
      <c r="AQ511" s="1285"/>
      <c r="AR511" s="1286"/>
      <c r="AS511" s="624">
        <v>60</v>
      </c>
      <c r="AT511" s="4">
        <v>0</v>
      </c>
      <c r="AU511" s="160">
        <v>10</v>
      </c>
      <c r="AV511" s="160">
        <v>25</v>
      </c>
      <c r="AW511" s="160">
        <v>37.5</v>
      </c>
      <c r="AX511" s="160">
        <v>35</v>
      </c>
      <c r="AY511" s="160">
        <v>37.5</v>
      </c>
      <c r="AZ511" s="160">
        <v>50</v>
      </c>
      <c r="BA511" s="160">
        <v>50</v>
      </c>
      <c r="BB511" s="21"/>
      <c r="BC511" s="21"/>
      <c r="BE511" s="1284"/>
      <c r="BF511" s="1285"/>
      <c r="BG511" s="1286"/>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4"/>
      <c r="AQ512" s="1285"/>
      <c r="AR512" s="1286"/>
      <c r="AS512" s="624">
        <v>55</v>
      </c>
      <c r="AT512" s="4">
        <v>0</v>
      </c>
      <c r="AU512" s="160">
        <v>10</v>
      </c>
      <c r="AV512" s="160">
        <v>25</v>
      </c>
      <c r="AW512" s="160">
        <v>37.5</v>
      </c>
      <c r="AX512" s="160">
        <v>35</v>
      </c>
      <c r="AY512" s="160">
        <v>37.5</v>
      </c>
      <c r="AZ512" s="160">
        <v>50</v>
      </c>
      <c r="BA512" s="160">
        <v>50</v>
      </c>
      <c r="BE512" s="1284"/>
      <c r="BF512" s="1285"/>
      <c r="BG512" s="1286"/>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5" t="s">
        <v>124</v>
      </c>
      <c r="G513" s="1685"/>
      <c r="H513" s="16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4"/>
      <c r="AQ513" s="1285"/>
      <c r="AR513" s="1286"/>
      <c r="AS513" s="159">
        <v>50</v>
      </c>
      <c r="AT513" s="4">
        <v>0</v>
      </c>
      <c r="AU513" s="160">
        <v>10</v>
      </c>
      <c r="AV513" s="160">
        <v>25</v>
      </c>
      <c r="AW513" s="160">
        <v>37.5</v>
      </c>
      <c r="AX513" s="160">
        <v>35</v>
      </c>
      <c r="AY513" s="160">
        <v>37.5</v>
      </c>
      <c r="AZ513" s="160">
        <v>50</v>
      </c>
      <c r="BA513" s="160">
        <v>50</v>
      </c>
      <c r="BE513" s="1284"/>
      <c r="BF513" s="1285"/>
      <c r="BG513" s="1286"/>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4"/>
      <c r="AQ514" s="1285"/>
      <c r="AR514" s="1286"/>
      <c r="AS514" s="159">
        <v>45</v>
      </c>
      <c r="AT514" s="4">
        <v>0</v>
      </c>
      <c r="AU514" s="160">
        <v>10</v>
      </c>
      <c r="AV514" s="160">
        <v>22.5</v>
      </c>
      <c r="AW514" s="160">
        <v>33.799999999999997</v>
      </c>
      <c r="AX514" s="160">
        <v>35</v>
      </c>
      <c r="AY514" s="160">
        <v>37.5</v>
      </c>
      <c r="AZ514" s="160">
        <v>50</v>
      </c>
      <c r="BA514" s="160">
        <v>50</v>
      </c>
      <c r="BE514" s="1284"/>
      <c r="BF514" s="1285"/>
      <c r="BG514" s="1286"/>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6" t="s">
        <v>124</v>
      </c>
      <c r="D515" s="1707"/>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4"/>
      <c r="AQ515" s="1285"/>
      <c r="AR515" s="1286"/>
      <c r="AS515" s="159">
        <v>40</v>
      </c>
      <c r="AT515" s="4">
        <v>0</v>
      </c>
      <c r="AU515" s="160">
        <v>10</v>
      </c>
      <c r="AV515" s="160">
        <v>20</v>
      </c>
      <c r="AW515" s="160">
        <v>30</v>
      </c>
      <c r="AX515" s="160">
        <v>35</v>
      </c>
      <c r="AY515" s="160">
        <v>37.5</v>
      </c>
      <c r="AZ515" s="160">
        <v>50</v>
      </c>
      <c r="BA515" s="160">
        <v>50</v>
      </c>
      <c r="BE515" s="1284"/>
      <c r="BF515" s="1285"/>
      <c r="BG515" s="1286"/>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4"/>
      <c r="AQ516" s="1285"/>
      <c r="AR516" s="1286"/>
      <c r="AS516" s="159">
        <v>35</v>
      </c>
      <c r="AT516" s="4">
        <v>0</v>
      </c>
      <c r="AU516" s="160">
        <v>8.8000000000000007</v>
      </c>
      <c r="AV516" s="160">
        <v>17.5</v>
      </c>
      <c r="AW516" s="160">
        <v>26.3</v>
      </c>
      <c r="AX516" s="160">
        <v>35</v>
      </c>
      <c r="AY516" s="160">
        <v>37.5</v>
      </c>
      <c r="AZ516" s="160">
        <v>50</v>
      </c>
      <c r="BA516" s="160">
        <v>50</v>
      </c>
      <c r="BE516" s="1284"/>
      <c r="BF516" s="1285"/>
      <c r="BG516" s="1286"/>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9"/>
      <c r="D517" s="142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4"/>
      <c r="AQ517" s="1285"/>
      <c r="AR517" s="1286"/>
      <c r="AS517" s="159">
        <v>30</v>
      </c>
      <c r="AT517" s="4">
        <v>0</v>
      </c>
      <c r="AU517" s="160">
        <v>7.5</v>
      </c>
      <c r="AV517" s="160">
        <v>15</v>
      </c>
      <c r="AW517" s="160">
        <v>22.5</v>
      </c>
      <c r="AX517" s="160">
        <v>30</v>
      </c>
      <c r="AY517" s="160">
        <v>37.5</v>
      </c>
      <c r="AZ517" s="160">
        <v>45</v>
      </c>
      <c r="BA517" s="160">
        <v>50</v>
      </c>
      <c r="BE517" s="1284"/>
      <c r="BF517" s="1285"/>
      <c r="BG517" s="1286"/>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4" t="s">
        <v>124</v>
      </c>
      <c r="H518" s="1874"/>
      <c r="I518" s="1874"/>
      <c r="J518" s="1874"/>
      <c r="K518" s="1874"/>
      <c r="L518" s="1874"/>
      <c r="M518" s="1874"/>
      <c r="N518" s="1874"/>
      <c r="O518" s="1874"/>
      <c r="P518" s="1874"/>
      <c r="Q518" s="1874"/>
      <c r="R518" s="1874"/>
      <c r="S518" s="1874"/>
      <c r="T518" s="1874"/>
      <c r="U518" s="1874"/>
      <c r="V518" s="1874"/>
      <c r="W518" s="1874"/>
      <c r="X518" s="1874"/>
      <c r="Y518" s="1874"/>
      <c r="Z518" s="1874"/>
      <c r="AA518" s="1874"/>
      <c r="AB518" s="1874"/>
      <c r="AC518" s="1874"/>
      <c r="AD518" s="1874"/>
      <c r="AE518" s="1874"/>
      <c r="AF518" s="1874"/>
      <c r="AG518" s="4"/>
      <c r="AH518" s="4"/>
      <c r="AI518" s="4"/>
      <c r="AJ518" s="19"/>
      <c r="AK518" s="705"/>
      <c r="AL518" s="4"/>
      <c r="AM518" s="4"/>
      <c r="AN518" s="669"/>
      <c r="AP518" s="1284"/>
      <c r="AQ518" s="1285"/>
      <c r="AR518" s="1286"/>
      <c r="AS518" s="159">
        <v>25</v>
      </c>
      <c r="AT518" s="4">
        <v>0</v>
      </c>
      <c r="AU518" s="160">
        <v>6.3</v>
      </c>
      <c r="AV518" s="160">
        <v>12.5</v>
      </c>
      <c r="AW518" s="160">
        <v>18.8</v>
      </c>
      <c r="AX518" s="160">
        <v>25</v>
      </c>
      <c r="AY518" s="160">
        <v>31.3</v>
      </c>
      <c r="AZ518" s="160">
        <v>37.5</v>
      </c>
      <c r="BA518" s="160">
        <v>50</v>
      </c>
      <c r="BE518" s="1284"/>
      <c r="BF518" s="1285"/>
      <c r="BG518" s="1286"/>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4"/>
      <c r="AQ519" s="1285"/>
      <c r="AR519" s="1286"/>
      <c r="AS519" s="159">
        <v>20</v>
      </c>
      <c r="AT519" s="4">
        <v>0</v>
      </c>
      <c r="AU519" s="160">
        <v>5</v>
      </c>
      <c r="AV519" s="160">
        <v>10</v>
      </c>
      <c r="AW519" s="160">
        <v>15</v>
      </c>
      <c r="AX519" s="160">
        <v>20</v>
      </c>
      <c r="AY519" s="160">
        <v>25</v>
      </c>
      <c r="AZ519" s="160">
        <v>30</v>
      </c>
      <c r="BA519" s="160">
        <v>40</v>
      </c>
      <c r="BE519" s="1284"/>
      <c r="BF519" s="1285"/>
      <c r="BG519" s="1286"/>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5" t="s">
        <v>124</v>
      </c>
      <c r="D520" s="187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4"/>
      <c r="AQ520" s="1285"/>
      <c r="AR520" s="1286"/>
      <c r="AS520" s="159">
        <v>15</v>
      </c>
      <c r="AT520" s="4">
        <v>0</v>
      </c>
      <c r="AU520" s="160">
        <v>3.8</v>
      </c>
      <c r="AV520" s="160">
        <v>7.5</v>
      </c>
      <c r="AW520" s="160">
        <v>11.3</v>
      </c>
      <c r="AX520" s="160">
        <v>15</v>
      </c>
      <c r="AY520" s="160">
        <v>18.8</v>
      </c>
      <c r="AZ520" s="160">
        <v>22.5</v>
      </c>
      <c r="BA520" s="160">
        <v>30</v>
      </c>
      <c r="BE520" s="1284"/>
      <c r="BF520" s="1285"/>
      <c r="BG520" s="1286"/>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7"/>
      <c r="AQ521" s="1288"/>
      <c r="AR521" s="1289"/>
      <c r="AS521" s="159">
        <v>10</v>
      </c>
      <c r="AT521" s="4">
        <v>0</v>
      </c>
      <c r="AU521" s="160">
        <v>2.5</v>
      </c>
      <c r="AV521" s="160">
        <v>5</v>
      </c>
      <c r="AW521" s="160">
        <v>7.5</v>
      </c>
      <c r="AX521" s="160">
        <v>10</v>
      </c>
      <c r="AY521" s="160">
        <v>12.5</v>
      </c>
      <c r="AZ521" s="160">
        <v>15</v>
      </c>
      <c r="BA521" s="160">
        <v>20</v>
      </c>
      <c r="BE521" s="1287"/>
      <c r="BF521" s="1288"/>
      <c r="BG521" s="1289"/>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5" t="s">
        <v>124</v>
      </c>
      <c r="D524" s="1876"/>
      <c r="F524" s="496" t="s">
        <v>874</v>
      </c>
      <c r="G524" s="1644" t="s">
        <v>983</v>
      </c>
      <c r="H524" s="1644"/>
      <c r="I524" s="1644"/>
      <c r="J524" s="1644"/>
      <c r="K524" s="1644"/>
      <c r="L524" s="1644"/>
      <c r="M524" s="1644"/>
      <c r="N524" s="1644"/>
      <c r="O524" s="1644"/>
      <c r="P524" s="1644"/>
      <c r="Q524" s="1644"/>
      <c r="R524" s="1644"/>
      <c r="S524" s="1644"/>
      <c r="T524" s="1644"/>
      <c r="U524" s="1644"/>
      <c r="V524" s="1644"/>
      <c r="W524" s="1644"/>
      <c r="X524" s="1644"/>
      <c r="Y524" s="1644"/>
      <c r="Z524" s="1644"/>
      <c r="AA524" s="1644"/>
      <c r="AB524" s="1644"/>
      <c r="AC524" s="1644"/>
      <c r="AD524" s="1644"/>
      <c r="AE524" s="1644"/>
      <c r="AF524" s="1644"/>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6">
        <f>BJ528</f>
        <v>71</v>
      </c>
      <c r="BE524" s="1856"/>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6">
        <f>SUM(E581:J589)</f>
        <v>71</v>
      </c>
      <c r="BE525" s="1856"/>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9">
        <v>0</v>
      </c>
      <c r="BK526" s="186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9">
        <f>Application!AG431</f>
        <v>0</v>
      </c>
      <c r="BK527" s="1860"/>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7"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9">
        <f>Application!AG433</f>
        <v>71</v>
      </c>
      <c r="BK528" s="1860"/>
      <c r="BM528" s="1746"/>
      <c r="BN528" s="1747"/>
      <c r="BO528" s="1746"/>
      <c r="BP528" s="1747"/>
      <c r="BQ528" s="1759"/>
      <c r="BR528" s="1761"/>
      <c r="BS528" s="1759"/>
      <c r="BT528" s="1761"/>
      <c r="BU528" s="1746">
        <f>IF(T611&gt;0,1,0)</f>
        <v>1</v>
      </c>
      <c r="BV528" s="1747"/>
      <c r="BW528" s="1746">
        <f>IF(Y611&gt;=0.1,1,0)</f>
        <v>1</v>
      </c>
      <c r="BX528" s="1747"/>
      <c r="BY528" s="1759"/>
      <c r="BZ528" s="1761"/>
      <c r="CA528" s="1759"/>
      <c r="CB528" s="1761"/>
      <c r="CC528" s="1746"/>
      <c r="CD528" s="1747"/>
      <c r="CE528" s="1746"/>
      <c r="CF528" s="1747"/>
      <c r="CG528"/>
      <c r="CH528"/>
      <c r="CI528"/>
      <c r="CJ528"/>
    </row>
    <row r="529" spans="1:101" s="4" customFormat="1" ht="12.75" hidden="1" customHeight="1">
      <c r="C529" s="699"/>
      <c r="E529" s="143"/>
      <c r="F529" s="1567" t="s">
        <v>124</v>
      </c>
      <c r="G529" s="1567"/>
      <c r="H529" s="1567"/>
      <c r="I529" s="1567"/>
      <c r="J529" s="1567"/>
      <c r="K529" s="1567"/>
      <c r="L529" s="1567"/>
      <c r="M529" s="1567"/>
      <c r="N529" s="1567"/>
      <c r="O529" s="1567"/>
      <c r="P529" s="1567"/>
      <c r="Q529" s="1567"/>
      <c r="R529" s="1567"/>
      <c r="S529" s="1567"/>
      <c r="T529" s="1567"/>
      <c r="U529" s="1567"/>
      <c r="V529" s="1567"/>
      <c r="W529" s="1567"/>
      <c r="X529" s="1567"/>
      <c r="Y529" s="1567"/>
      <c r="Z529" s="1567"/>
      <c r="AA529" s="1567"/>
      <c r="AB529" s="1567"/>
      <c r="AC529" s="1567"/>
      <c r="AD529" s="1567"/>
      <c r="AE529" s="1567"/>
      <c r="AF529" s="1567"/>
      <c r="AG529" s="19"/>
      <c r="AH529" s="19"/>
      <c r="AI529" s="19"/>
      <c r="AJ529" s="19"/>
      <c r="AK529" s="705"/>
      <c r="AN529" s="281"/>
      <c r="BM529" s="1746"/>
      <c r="BN529" s="1747"/>
      <c r="BO529" s="1746"/>
      <c r="BP529" s="1747"/>
      <c r="BQ529" s="1759"/>
      <c r="BR529" s="1761"/>
      <c r="BS529" s="1759"/>
      <c r="BT529" s="1761"/>
      <c r="BU529" s="1746"/>
      <c r="BV529" s="1747"/>
      <c r="BW529" s="1746"/>
      <c r="BX529" s="1747"/>
      <c r="BY529" s="1759">
        <f>IF(T612&gt;0,1,0)</f>
        <v>1</v>
      </c>
      <c r="BZ529" s="1761"/>
      <c r="CA529" s="1759">
        <f>IF(Y612&gt;=0.1,1,0)</f>
        <v>1</v>
      </c>
      <c r="CB529" s="1761"/>
      <c r="CC529" s="1746"/>
      <c r="CD529" s="1747"/>
      <c r="CE529" s="1746"/>
      <c r="CF529" s="1747"/>
      <c r="CG529"/>
      <c r="CH529"/>
      <c r="CI529"/>
      <c r="CJ529"/>
      <c r="CW529"/>
    </row>
    <row r="530" spans="1:101" s="4" customFormat="1" ht="12.75" hidden="1" customHeight="1">
      <c r="C530" s="747"/>
      <c r="D530" s="714"/>
      <c r="E530" s="728"/>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30"/>
      <c r="AH530" s="730"/>
      <c r="AI530" s="730"/>
      <c r="AJ530" s="730"/>
      <c r="AK530" s="715"/>
      <c r="AN530" s="281"/>
      <c r="BM530" s="1746"/>
      <c r="BN530" s="1747"/>
      <c r="BO530" s="1746"/>
      <c r="BP530" s="1747"/>
      <c r="BQ530" s="1759"/>
      <c r="BR530" s="1761"/>
      <c r="BS530" s="1759"/>
      <c r="BT530" s="1761"/>
      <c r="BU530" s="1746"/>
      <c r="BV530" s="1747"/>
      <c r="BW530" s="1746"/>
      <c r="BX530" s="1747"/>
      <c r="BY530" s="1759"/>
      <c r="BZ530" s="1761"/>
      <c r="CA530" s="1759"/>
      <c r="CB530" s="1761"/>
      <c r="CC530" s="1746">
        <f>IF(T613&gt;0,1,0)</f>
        <v>0</v>
      </c>
      <c r="CD530" s="1747"/>
      <c r="CE530" s="1746">
        <f>IF(Y613&gt;=0.1,1,0)</f>
        <v>0</v>
      </c>
      <c r="CF530" s="174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6">
        <f>SUM(BM526:BN530)</f>
        <v>0</v>
      </c>
      <c r="BN531" s="1747"/>
      <c r="BO531" s="1746">
        <f>SUM(BO526:BP530)</f>
        <v>0</v>
      </c>
      <c r="BP531" s="1747"/>
      <c r="BQ531" s="1746">
        <f>SUM(BQ526:BR530)</f>
        <v>1</v>
      </c>
      <c r="BR531" s="1747"/>
      <c r="BS531" s="1746">
        <f>SUM(BS526:BT530)</f>
        <v>1</v>
      </c>
      <c r="BT531" s="1747"/>
      <c r="BU531" s="1746">
        <f>SUM(BU526:BV530)</f>
        <v>1</v>
      </c>
      <c r="BV531" s="1747"/>
      <c r="BW531" s="1746">
        <f>SUM(BW526:BX530)</f>
        <v>1</v>
      </c>
      <c r="BX531" s="1747"/>
      <c r="BY531" s="1746">
        <f>SUM(BY526:BZ530)</f>
        <v>1</v>
      </c>
      <c r="BZ531" s="1747"/>
      <c r="CA531" s="1746">
        <f>SUM(CA526:CB530)</f>
        <v>1</v>
      </c>
      <c r="CB531" s="1747"/>
      <c r="CC531" s="1746">
        <f>SUM(CC526:CD530)</f>
        <v>0</v>
      </c>
      <c r="CD531" s="1747"/>
      <c r="CE531" s="1746">
        <f>SUM(CE526:CF530)</f>
        <v>0</v>
      </c>
      <c r="CF531" s="1747"/>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t="s">
        <v>455</v>
      </c>
      <c r="AQ532" s="1865"/>
      <c r="AR532" s="1865"/>
      <c r="AS532" s="1865"/>
      <c r="AT532" s="1866"/>
      <c r="AU532" s="1864" t="s">
        <v>456</v>
      </c>
      <c r="AV532" s="1865"/>
      <c r="AW532" s="1865"/>
      <c r="AX532" s="1865"/>
      <c r="AY532" s="1866"/>
      <c r="BM532" s="1759">
        <f>SUM(BM531:BP531)</f>
        <v>0</v>
      </c>
      <c r="BN532" s="1760"/>
      <c r="BO532" s="1760"/>
      <c r="BP532" s="1761"/>
      <c r="BQ532" s="1759">
        <f>SUM(BQ531:BT531)</f>
        <v>2</v>
      </c>
      <c r="BR532" s="1760"/>
      <c r="BS532" s="1760"/>
      <c r="BT532" s="1761"/>
      <c r="BU532" s="1759">
        <f>SUM(BU531:BX531)</f>
        <v>2</v>
      </c>
      <c r="BV532" s="1760"/>
      <c r="BW532" s="1760"/>
      <c r="BX532" s="1761"/>
      <c r="BY532" s="1759">
        <f>SUM(BY531:CB531)</f>
        <v>2</v>
      </c>
      <c r="BZ532" s="1760"/>
      <c r="CA532" s="1760"/>
      <c r="CB532" s="1761"/>
      <c r="CC532" s="1759">
        <f>SUM(CC531:CF531)</f>
        <v>0</v>
      </c>
      <c r="CD532" s="1760"/>
      <c r="CE532" s="1760"/>
      <c r="CF532" s="176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1">
        <f>RANK(T609,$T$609:$X$613,0)+COUNTIF($T$609:$X$613,T609)-1</f>
        <v>5</v>
      </c>
      <c r="AQ533" s="1862"/>
      <c r="AR533" s="1862"/>
      <c r="AS533" s="1862"/>
      <c r="AT533" s="1863"/>
      <c r="AU533" s="1861">
        <f>RANK(Y609,$Y$609:$AC$613,0)+COUNTIF($Y$609:$AC$613,Y609)-1</f>
        <v>5</v>
      </c>
      <c r="AV533" s="1862"/>
      <c r="AW533" s="1862"/>
      <c r="AX533" s="1862"/>
      <c r="AY533" s="1863"/>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1">
        <f>RANK(T610,$T$609:$X$613,0)+COUNTIF($T$609:$X$613,T610)-1</f>
        <v>3</v>
      </c>
      <c r="AQ534" s="1862"/>
      <c r="AR534" s="1862"/>
      <c r="AS534" s="1862"/>
      <c r="AT534" s="1863"/>
      <c r="AU534" s="1861">
        <f>RANK(Y610,$Y$609:$AC$613,0)+COUNTIF($Y$609:$AC$613,Y610)-1</f>
        <v>1</v>
      </c>
      <c r="AV534" s="1862"/>
      <c r="AW534" s="1862"/>
      <c r="AX534" s="1862"/>
      <c r="AY534" s="1863"/>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1">
        <f>RANK(T611,$T$609:$X$613,0)+COUNTIF($T$609:$X$613,T611)-1</f>
        <v>3</v>
      </c>
      <c r="AQ535" s="1862"/>
      <c r="AR535" s="1862"/>
      <c r="AS535" s="1862"/>
      <c r="AT535" s="1863"/>
      <c r="AU535" s="1861">
        <f>RANK(Y611,$Y$609:$AC$613,0)+COUNTIF($Y$609:$AC$613,Y611)-1</f>
        <v>3</v>
      </c>
      <c r="AV535" s="1862"/>
      <c r="AW535" s="1862"/>
      <c r="AX535" s="1862"/>
      <c r="AY535" s="1863"/>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1">
        <f>RANK(T612,$T$609:$X$613,0)+COUNTIF($T$609:$X$613,T612)-1</f>
        <v>3</v>
      </c>
      <c r="AQ536" s="1862"/>
      <c r="AR536" s="1862"/>
      <c r="AS536" s="1862"/>
      <c r="AT536" s="1863"/>
      <c r="AU536" s="1861">
        <f>RANK(Y612,$Y$609:$AC$613,0)+COUNTIF($Y$609:$AC$613,Y612)-1</f>
        <v>2</v>
      </c>
      <c r="AV536" s="1862"/>
      <c r="AW536" s="1862"/>
      <c r="AX536" s="1862"/>
      <c r="AY536" s="1863"/>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1">
        <f>RANK(T613,$T$609:$X$613,0)+COUNTIF($T$609:$X$613,T613)-1</f>
        <v>5</v>
      </c>
      <c r="AQ537" s="1862"/>
      <c r="AR537" s="1862"/>
      <c r="AS537" s="1862"/>
      <c r="AT537" s="1863"/>
      <c r="AU537" s="1861">
        <f>RANK(Y613,$Y$609:$AC$613,0)+COUNTIF($Y$609:$AC$613,Y613)-1</f>
        <v>5</v>
      </c>
      <c r="AV537" s="1862"/>
      <c r="AW537" s="1862"/>
      <c r="AX537" s="1862"/>
      <c r="AY537" s="1863"/>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6">
        <f>SUM(O609:S613)</f>
        <v>71</v>
      </c>
      <c r="AZ541" s="1747"/>
      <c r="CG541"/>
      <c r="CH541" s="1791" t="s">
        <v>775</v>
      </c>
      <c r="CI541" s="1457"/>
      <c r="CJ541" s="1457"/>
      <c r="CK541" s="1458"/>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6" t="str">
        <f>IF(AY541=BK568,"passed","failed")</f>
        <v>passed</v>
      </c>
      <c r="AT542" s="1751"/>
      <c r="AU542" s="1747"/>
      <c r="AV542" s="151"/>
      <c r="AW542" s="151"/>
      <c r="AX542" s="151"/>
      <c r="AY542" s="151"/>
      <c r="AZ542" s="152"/>
      <c r="CG542"/>
      <c r="CH542" s="1459"/>
      <c r="CI542" s="1460"/>
      <c r="CJ542" s="1460"/>
      <c r="CK542" s="1461"/>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2" t="s">
        <v>365</v>
      </c>
      <c r="AF543" s="1682"/>
      <c r="AG543" s="1682"/>
      <c r="AH543" s="1682"/>
      <c r="AI543" s="1682"/>
      <c r="AJ543" s="1682"/>
      <c r="AK543" s="168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9"/>
      <c r="CI543" s="1460"/>
      <c r="CJ543" s="1460"/>
      <c r="CK543" s="1461"/>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0" t="s">
        <v>182</v>
      </c>
      <c r="AH544" s="1690"/>
      <c r="AI544" s="1690"/>
      <c r="AJ544" s="1690"/>
      <c r="AK544" s="18"/>
      <c r="AL544" s="18"/>
      <c r="AM544" s="21"/>
      <c r="AN544" s="281"/>
      <c r="BE544" s="1759" t="s">
        <v>223</v>
      </c>
      <c r="BF544" s="1760"/>
      <c r="BG544" s="1760"/>
      <c r="BH544" s="1761"/>
      <c r="BI544" s="1759" t="s">
        <v>716</v>
      </c>
      <c r="BJ544" s="1760"/>
      <c r="BK544" s="1760"/>
      <c r="BL544" s="1761"/>
      <c r="BM544" s="1759" t="s">
        <v>717</v>
      </c>
      <c r="BN544" s="1760"/>
      <c r="BO544" s="1760"/>
      <c r="BP544" s="1761"/>
      <c r="BQ544" s="1759" t="s">
        <v>718</v>
      </c>
      <c r="BR544" s="1760"/>
      <c r="BS544" s="1760"/>
      <c r="BT544" s="1761"/>
      <c r="BU544" s="1759" t="s">
        <v>719</v>
      </c>
      <c r="BV544" s="1760"/>
      <c r="BW544" s="1760"/>
      <c r="BX544" s="1761"/>
      <c r="BY544" s="1759" t="s">
        <v>224</v>
      </c>
      <c r="BZ544" s="1760"/>
      <c r="CA544" s="1760"/>
      <c r="CB544" s="1761"/>
      <c r="CC544"/>
      <c r="CG544"/>
      <c r="CH544" s="1459"/>
      <c r="CI544" s="1460"/>
      <c r="CJ544" s="1460"/>
      <c r="CK544" s="1461"/>
    </row>
    <row r="545" spans="1:89" s="4" customFormat="1" ht="12.75" customHeight="1">
      <c r="A545" s="3"/>
      <c r="B545" s="1873" t="s">
        <v>1719</v>
      </c>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K545" s="21"/>
      <c r="AL545" s="21"/>
      <c r="AN545" s="281"/>
      <c r="AP545" s="434" t="s">
        <v>613</v>
      </c>
      <c r="AQ545" s="435"/>
      <c r="AR545" s="435"/>
      <c r="AS545" s="435"/>
      <c r="AT545" s="435"/>
      <c r="AU545" s="435"/>
      <c r="AV545" s="436"/>
      <c r="AW545" s="435"/>
      <c r="AX545" s="435"/>
      <c r="AY545" s="436"/>
      <c r="BE545" s="1746">
        <f>IF(CH546=1,0,1)</f>
        <v>0</v>
      </c>
      <c r="BF545" s="1751"/>
      <c r="BG545" s="1751"/>
      <c r="BH545" s="1747"/>
      <c r="BI545" s="1746"/>
      <c r="BJ545" s="1751"/>
      <c r="BK545" s="1751"/>
      <c r="BL545" s="1747"/>
      <c r="BM545" s="1746"/>
      <c r="BN545" s="1751"/>
      <c r="BO545" s="1751"/>
      <c r="BP545" s="1747"/>
      <c r="BQ545" s="1746"/>
      <c r="BR545" s="1751"/>
      <c r="BS545" s="1751"/>
      <c r="BT545" s="1747"/>
      <c r="BU545" s="1759"/>
      <c r="BV545" s="1760"/>
      <c r="BW545" s="1760"/>
      <c r="BX545" s="1761"/>
      <c r="BY545" s="1759"/>
      <c r="BZ545" s="1760"/>
      <c r="CA545" s="1760"/>
      <c r="CB545" s="1761"/>
      <c r="CC545"/>
      <c r="CG545"/>
      <c r="CH545" s="1510"/>
      <c r="CI545" s="1511"/>
      <c r="CJ545" s="1511"/>
      <c r="CK545" s="1512"/>
    </row>
    <row r="546" spans="1:89" s="4" customFormat="1" ht="12.75" customHeight="1">
      <c r="A546" s="20"/>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K546" s="163"/>
      <c r="AL546" s="163"/>
      <c r="AM546" s="163"/>
      <c r="AN546" s="281"/>
      <c r="AP546" s="437" t="s">
        <v>611</v>
      </c>
      <c r="AQ546" s="438"/>
      <c r="AR546" s="438"/>
      <c r="AS546" s="438"/>
      <c r="AT546" s="438"/>
      <c r="AU546" s="1781">
        <f>ROUNDUP(BK568*0.1,0)</f>
        <v>8</v>
      </c>
      <c r="AV546" s="1783"/>
      <c r="AW546" s="438"/>
      <c r="AX546" s="438">
        <f>AU546-AP548</f>
        <v>-7</v>
      </c>
      <c r="AY546" s="439"/>
      <c r="BE546" s="1746"/>
      <c r="BF546" s="1751"/>
      <c r="BG546" s="1751"/>
      <c r="BH546" s="1747"/>
      <c r="BI546" s="1746">
        <f>IF(AND(CH547=1,BE545=0),0,1)</f>
        <v>0</v>
      </c>
      <c r="BJ546" s="1751"/>
      <c r="BK546" s="1751"/>
      <c r="BL546" s="1747"/>
      <c r="BM546" s="1746"/>
      <c r="BN546" s="1751"/>
      <c r="BO546" s="1751"/>
      <c r="BP546" s="1747"/>
      <c r="BQ546" s="1746"/>
      <c r="BR546" s="1751"/>
      <c r="BS546" s="1751"/>
      <c r="BT546" s="1747"/>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AP547" s="437"/>
      <c r="AQ547" s="438"/>
      <c r="AR547" s="438"/>
      <c r="AS547" s="438"/>
      <c r="AT547" s="438"/>
      <c r="AU547" s="438"/>
      <c r="AV547" s="439"/>
      <c r="AW547" s="438"/>
      <c r="AX547" s="438"/>
      <c r="AY547" s="439"/>
      <c r="BE547" s="1746"/>
      <c r="BF547" s="1751"/>
      <c r="BG547" s="1751"/>
      <c r="BH547" s="1747"/>
      <c r="BI547" s="1746"/>
      <c r="BJ547" s="1751"/>
      <c r="BK547" s="1751"/>
      <c r="BL547" s="1747"/>
      <c r="BM547" s="1746">
        <f>IF(AND(AND(CH548=1,BI546=0,BE545=0)),0,1)</f>
        <v>0</v>
      </c>
      <c r="BN547" s="1751"/>
      <c r="BO547" s="1751"/>
      <c r="BP547" s="1747"/>
      <c r="BQ547" s="1746"/>
      <c r="BR547" s="1751"/>
      <c r="BS547" s="1751"/>
      <c r="BT547" s="1747"/>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73"/>
      <c r="C548" s="1873"/>
      <c r="D548" s="1873"/>
      <c r="E548" s="1873"/>
      <c r="F548" s="1873"/>
      <c r="G548" s="1873"/>
      <c r="H548" s="1873"/>
      <c r="I548" s="1873"/>
      <c r="J548" s="1873"/>
      <c r="K548" s="1873"/>
      <c r="L548" s="1873"/>
      <c r="M548" s="1873"/>
      <c r="N548" s="1873"/>
      <c r="O548" s="1873"/>
      <c r="P548" s="1873"/>
      <c r="Q548" s="1873"/>
      <c r="R548" s="1873"/>
      <c r="S548" s="1873"/>
      <c r="T548" s="1873"/>
      <c r="U548" s="1873"/>
      <c r="V548" s="1873"/>
      <c r="W548" s="1873"/>
      <c r="X548" s="1873"/>
      <c r="Y548" s="1873"/>
      <c r="Z548" s="1873"/>
      <c r="AA548" s="1873"/>
      <c r="AB548" s="1873"/>
      <c r="AC548" s="1873"/>
      <c r="AD548" s="1873"/>
      <c r="AE548" s="1873"/>
      <c r="AF548" s="1873"/>
      <c r="AG548" s="1873"/>
      <c r="AH548" s="162"/>
      <c r="AI548" s="162"/>
      <c r="AJ548" s="162"/>
      <c r="AK548" s="163"/>
      <c r="AL548" s="163"/>
      <c r="AM548" s="163"/>
      <c r="AN548" s="281"/>
      <c r="AP548" s="1841">
        <f>SUM(T609:X613)</f>
        <v>15</v>
      </c>
      <c r="AQ548" s="1842"/>
      <c r="AR548" s="1842"/>
      <c r="AS548" s="1842"/>
      <c r="AT548" s="1843"/>
      <c r="AU548" s="438"/>
      <c r="AV548" s="439"/>
      <c r="AW548" s="438"/>
      <c r="AX548" s="438"/>
      <c r="AY548" s="439"/>
      <c r="BE548" s="1746"/>
      <c r="BF548" s="1751"/>
      <c r="BG548" s="1751"/>
      <c r="BH548" s="1747"/>
      <c r="BI548" s="1746"/>
      <c r="BJ548" s="1751"/>
      <c r="BK548" s="1751"/>
      <c r="BL548" s="1747"/>
      <c r="BM548" s="1746"/>
      <c r="BN548" s="1751"/>
      <c r="BO548" s="1751"/>
      <c r="BP548" s="1747"/>
      <c r="BQ548" s="1746">
        <f>IF(AND(AND(AND(CH549=1,BM547=0,BI546=0,BE545=0))),0,1)</f>
        <v>0</v>
      </c>
      <c r="BR548" s="1751"/>
      <c r="BS548" s="1751"/>
      <c r="BT548" s="1747"/>
      <c r="BU548" s="1759"/>
      <c r="BV548" s="1760"/>
      <c r="BW548" s="1760"/>
      <c r="BX548" s="1761"/>
      <c r="BY548" s="1759"/>
      <c r="BZ548" s="1760"/>
      <c r="CA548" s="1760"/>
      <c r="CB548" s="1761"/>
      <c r="CC548"/>
      <c r="CG548"/>
      <c r="CH548" s="1759">
        <f>IF(OR(Y611=0,Y611&gt;=0.1),1,0)</f>
        <v>1</v>
      </c>
      <c r="CI548" s="1760"/>
      <c r="CJ548" s="1760"/>
      <c r="CK548" s="1761"/>
    </row>
    <row r="549" spans="1:89" s="4" customFormat="1" ht="12.75" customHeight="1">
      <c r="B549" s="1873"/>
      <c r="C549" s="1873"/>
      <c r="D549" s="1873"/>
      <c r="E549" s="1873"/>
      <c r="F549" s="1873"/>
      <c r="G549" s="1873"/>
      <c r="H549" s="1873"/>
      <c r="I549" s="1873"/>
      <c r="J549" s="1873"/>
      <c r="K549" s="1873"/>
      <c r="L549" s="1873"/>
      <c r="M549" s="1873"/>
      <c r="N549" s="1873"/>
      <c r="O549" s="1873"/>
      <c r="P549" s="1873"/>
      <c r="Q549" s="1873"/>
      <c r="R549" s="1873"/>
      <c r="S549" s="1873"/>
      <c r="T549" s="1873"/>
      <c r="U549" s="1873"/>
      <c r="V549" s="1873"/>
      <c r="W549" s="1873"/>
      <c r="X549" s="1873"/>
      <c r="Y549" s="1873"/>
      <c r="Z549" s="1873"/>
      <c r="AA549" s="1873"/>
      <c r="AB549" s="1873"/>
      <c r="AC549" s="1873"/>
      <c r="AD549" s="1873"/>
      <c r="AE549" s="1873"/>
      <c r="AF549" s="1873"/>
      <c r="AG549" s="1873"/>
      <c r="AH549" s="162"/>
      <c r="AI549" s="162"/>
      <c r="AJ549" s="162"/>
      <c r="AK549" s="163"/>
      <c r="AL549" s="163"/>
      <c r="AM549" s="163"/>
      <c r="AN549" s="281"/>
      <c r="AP549" s="440"/>
      <c r="AQ549" s="441"/>
      <c r="AR549" s="441"/>
      <c r="AS549" s="441"/>
      <c r="AT549" s="442" t="s">
        <v>606</v>
      </c>
      <c r="AU549" s="1781" t="str">
        <f>IF(AP548&gt;=AU546,"passed","failed")</f>
        <v>passed</v>
      </c>
      <c r="AV549" s="1782"/>
      <c r="AW549" s="1783"/>
      <c r="AX549" s="443"/>
      <c r="AY549" s="444"/>
      <c r="BE549" s="1746"/>
      <c r="BF549" s="1751"/>
      <c r="BG549" s="1751"/>
      <c r="BH549" s="1747"/>
      <c r="BI549" s="1746"/>
      <c r="BJ549" s="1751"/>
      <c r="BK549" s="1751"/>
      <c r="BL549" s="1747"/>
      <c r="BM549" s="1746"/>
      <c r="BN549" s="1751"/>
      <c r="BO549" s="1751"/>
      <c r="BP549" s="1747"/>
      <c r="BQ549" s="1746"/>
      <c r="BR549" s="1751"/>
      <c r="BS549" s="1751"/>
      <c r="BT549" s="1747"/>
      <c r="BU549" s="1746">
        <f>IF(AND(AND(AND(AND(CH550=1,BQ548=0,BM547=0,BI546=0,BE545=0)))),0,1)</f>
        <v>0</v>
      </c>
      <c r="BV549" s="1751"/>
      <c r="BW549" s="1751"/>
      <c r="BX549" s="1747"/>
      <c r="BY549" s="1759"/>
      <c r="BZ549" s="1760"/>
      <c r="CA549" s="1760"/>
      <c r="CB549" s="1761"/>
      <c r="CC549"/>
      <c r="CD549"/>
      <c r="CE549"/>
      <c r="CF549"/>
      <c r="CG549"/>
      <c r="CH549" s="1759">
        <f>IF(OR(Y612=0,Y612&gt;=0.1),1,0)</f>
        <v>1</v>
      </c>
      <c r="CI549" s="1760"/>
      <c r="CJ549" s="1760"/>
      <c r="CK549" s="1761"/>
    </row>
    <row r="550" spans="1:89" s="4" customFormat="1" ht="13.65" customHeight="1">
      <c r="B550" s="1873"/>
      <c r="C550" s="1873"/>
      <c r="D550" s="1873"/>
      <c r="E550" s="1873"/>
      <c r="F550" s="1873"/>
      <c r="G550" s="1873"/>
      <c r="H550" s="1873"/>
      <c r="I550" s="1873"/>
      <c r="J550" s="1873"/>
      <c r="K550" s="1873"/>
      <c r="L550" s="1873"/>
      <c r="M550" s="1873"/>
      <c r="N550" s="1873"/>
      <c r="O550" s="1873"/>
      <c r="P550" s="1873"/>
      <c r="Q550" s="1873"/>
      <c r="R550" s="1873"/>
      <c r="S550" s="1873"/>
      <c r="T550" s="1873"/>
      <c r="U550" s="1873"/>
      <c r="V550" s="1873"/>
      <c r="W550" s="1873"/>
      <c r="X550" s="1873"/>
      <c r="Y550" s="1873"/>
      <c r="Z550" s="1873"/>
      <c r="AA550" s="1873"/>
      <c r="AB550" s="1873"/>
      <c r="AC550" s="1873"/>
      <c r="AD550" s="1873"/>
      <c r="AE550" s="1873"/>
      <c r="AF550" s="1873"/>
      <c r="AG550" s="1873"/>
      <c r="AH550" s="162"/>
      <c r="AI550" s="162"/>
      <c r="AJ550" s="162"/>
      <c r="AK550" s="163"/>
      <c r="AL550" s="163"/>
      <c r="AM550" s="163"/>
      <c r="AN550" s="281"/>
      <c r="BE550" s="1746">
        <f>SUM(BE545:BH549)</f>
        <v>0</v>
      </c>
      <c r="BF550" s="1751"/>
      <c r="BG550" s="1751"/>
      <c r="BH550" s="1747"/>
      <c r="BI550" s="1746">
        <f>SUM(BI545:BL549)</f>
        <v>0</v>
      </c>
      <c r="BJ550" s="1751"/>
      <c r="BK550" s="1751"/>
      <c r="BL550" s="1747"/>
      <c r="BM550" s="1746">
        <f>SUM(BM545:BP549)</f>
        <v>0</v>
      </c>
      <c r="BN550" s="1751"/>
      <c r="BO550" s="1751"/>
      <c r="BP550" s="1747"/>
      <c r="BQ550" s="1746">
        <f>SUM(BQ545:BT549)</f>
        <v>0</v>
      </c>
      <c r="BR550" s="1751"/>
      <c r="BS550" s="1751"/>
      <c r="BT550" s="1747"/>
      <c r="BU550" s="1746">
        <f>SUM(BU545:BX549)</f>
        <v>0</v>
      </c>
      <c r="BV550" s="1751"/>
      <c r="BW550" s="1751"/>
      <c r="BX550" s="1747"/>
      <c r="BY550" s="1746">
        <f>SUM(BY545:CB549)</f>
        <v>0</v>
      </c>
      <c r="BZ550" s="1751"/>
      <c r="CA550" s="1751"/>
      <c r="CB550" s="1747"/>
      <c r="CC550" s="1759">
        <f>IF(AND(CH546=1,T609&gt;0),0,SUM(BE550:CB550))</f>
        <v>0</v>
      </c>
      <c r="CD550" s="1760"/>
      <c r="CE550" s="1760"/>
      <c r="CF550" s="1761"/>
      <c r="CG550"/>
      <c r="CH550" s="1759">
        <f>IF(OR(Y613=0,Y613&gt;=0.1),1,0)</f>
        <v>1</v>
      </c>
      <c r="CI550" s="1760"/>
      <c r="CJ550" s="1760"/>
      <c r="CK550" s="1761"/>
    </row>
    <row r="551" spans="1:89" s="4" customFormat="1" ht="12.45" customHeight="1">
      <c r="B551" s="1762" t="s">
        <v>1499</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2"/>
      <c r="AI551" s="162"/>
      <c r="AJ551" s="162"/>
      <c r="AK551" s="163"/>
      <c r="AL551" s="163"/>
      <c r="AM551" s="163"/>
      <c r="AN551" s="281"/>
    </row>
    <row r="552" spans="1:89" s="4" customFormat="1" ht="21"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2" t="s">
        <v>1761</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2"/>
      <c r="AH554" s="162"/>
      <c r="AI554" s="162"/>
      <c r="AJ554" s="162"/>
      <c r="AK554" s="163"/>
      <c r="AL554" s="163"/>
      <c r="AM554" s="163"/>
      <c r="AN554" s="281"/>
      <c r="AP554" s="150"/>
      <c r="AQ554" s="151"/>
      <c r="AR554" s="151"/>
      <c r="AS554" s="151"/>
      <c r="AT554" s="157" t="s">
        <v>606</v>
      </c>
      <c r="AU554" s="151"/>
      <c r="AV554" s="1746" t="str">
        <f>IF(BJ590&gt;0,"failed","passed")</f>
        <v>passed</v>
      </c>
      <c r="AW554" s="1751"/>
      <c r="AX554" s="1751"/>
      <c r="AY554" s="1747"/>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3" t="s">
        <v>1500</v>
      </c>
      <c r="R557" s="1693"/>
      <c r="S557" s="1693"/>
      <c r="T557" s="1693"/>
      <c r="U557" s="1693"/>
      <c r="V557" s="1693"/>
      <c r="W557" s="1693"/>
      <c r="X557" s="1693"/>
      <c r="Y557" s="1693"/>
      <c r="Z557" s="1693"/>
      <c r="AA557" s="1693"/>
      <c r="AB557" s="1693"/>
      <c r="AC557" s="1693"/>
      <c r="AD557" s="1693"/>
      <c r="AE557" s="1693"/>
      <c r="AF557" s="169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3"/>
      <c r="R558" s="1693"/>
      <c r="S558" s="1693"/>
      <c r="T558" s="1693"/>
      <c r="U558" s="1693"/>
      <c r="V558" s="1693"/>
      <c r="W558" s="1693"/>
      <c r="X558" s="1693"/>
      <c r="Y558" s="1693"/>
      <c r="Z558" s="1693"/>
      <c r="AA558" s="1693"/>
      <c r="AB558" s="1693"/>
      <c r="AC558" s="1693"/>
      <c r="AD558" s="1693"/>
      <c r="AE558" s="1693"/>
      <c r="AF558" s="1693"/>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1760</v>
      </c>
      <c r="R559" s="1679"/>
      <c r="S559" s="1849" t="s">
        <v>204</v>
      </c>
      <c r="T559" s="1849"/>
      <c r="U559" s="1678">
        <v>0.5</v>
      </c>
      <c r="V559" s="1679"/>
      <c r="W559" s="1678">
        <v>0.45</v>
      </c>
      <c r="X559" s="1679"/>
      <c r="Y559" s="1678">
        <v>0.4</v>
      </c>
      <c r="Z559" s="1679"/>
      <c r="AA559" s="1678">
        <v>0.35</v>
      </c>
      <c r="AB559" s="1679"/>
      <c r="AC559" s="1779">
        <v>0.3</v>
      </c>
      <c r="AD559" s="1780"/>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7"/>
      <c r="P560" s="1658"/>
      <c r="Q560" s="1676"/>
      <c r="R560" s="1677"/>
      <c r="S560" s="1763"/>
      <c r="T560" s="1763"/>
      <c r="U560" s="1677"/>
      <c r="V560" s="1677"/>
      <c r="W560" s="1677"/>
      <c r="X560" s="1677"/>
      <c r="Y560" s="1677"/>
      <c r="Z560" s="1677"/>
      <c r="AA560" s="1752"/>
      <c r="AB560" s="1752"/>
      <c r="AC560" s="1677"/>
      <c r="AD560" s="1677"/>
      <c r="AE560" s="1777"/>
      <c r="AF560" s="1778"/>
      <c r="AN560" s="281"/>
      <c r="AP560" s="144" t="s">
        <v>713</v>
      </c>
      <c r="AQ560" s="9"/>
      <c r="AR560" s="9"/>
      <c r="AS560" s="9"/>
      <c r="AT560" s="1759" t="str">
        <f>IF(OR(AV554="passed",BD558="passed"),"passed","failed")</f>
        <v>passed</v>
      </c>
      <c r="AU560" s="1760"/>
      <c r="AV560" s="1760"/>
      <c r="AW560" s="1760"/>
      <c r="AX560" s="1761"/>
    </row>
    <row r="561" spans="1:96" s="4" customFormat="1" ht="12.75" customHeight="1">
      <c r="B561" s="63"/>
      <c r="I561" s="220"/>
      <c r="J561" s="162"/>
      <c r="N561" s="5"/>
      <c r="O561" s="1657"/>
      <c r="P561" s="1658"/>
      <c r="Q561" s="1659"/>
      <c r="R561" s="1660"/>
      <c r="S561" s="1660"/>
      <c r="T561" s="1660"/>
      <c r="U561" s="1660"/>
      <c r="V561" s="1660"/>
      <c r="W561" s="1660"/>
      <c r="X561" s="1660"/>
      <c r="Y561" s="1674"/>
      <c r="Z561" s="1674"/>
      <c r="AA561" s="1660"/>
      <c r="AB561" s="1660"/>
      <c r="AC561" s="1674"/>
      <c r="AD561" s="1674"/>
      <c r="AE561" s="1694"/>
      <c r="AF561" s="1695"/>
      <c r="AN561" s="281"/>
      <c r="AP561"/>
      <c r="AQ561"/>
      <c r="AR561"/>
      <c r="AS561"/>
      <c r="AT561"/>
      <c r="AU561"/>
      <c r="AV561"/>
      <c r="AW561"/>
      <c r="AX561"/>
      <c r="AY561"/>
    </row>
    <row r="562" spans="1:96" s="4" customFormat="1" ht="12.75" customHeight="1">
      <c r="B562" s="63"/>
      <c r="I562" s="220"/>
      <c r="J562" s="162"/>
      <c r="N562" s="5"/>
      <c r="O562" s="1657"/>
      <c r="P562" s="1658"/>
      <c r="Q562" s="1659"/>
      <c r="R562" s="1660"/>
      <c r="S562" s="1660"/>
      <c r="T562" s="1660"/>
      <c r="U562" s="1660"/>
      <c r="V562" s="1660"/>
      <c r="W562" s="1660"/>
      <c r="X562" s="1660"/>
      <c r="Y562" s="1660"/>
      <c r="Z562" s="1660"/>
      <c r="AA562" s="1674"/>
      <c r="AB562" s="1674"/>
      <c r="AC562" s="1660"/>
      <c r="AD562" s="1660"/>
      <c r="AE562" s="1787"/>
      <c r="AF562" s="1788"/>
      <c r="AN562" s="281"/>
      <c r="AP562" s="153" t="s">
        <v>607</v>
      </c>
      <c r="AQ562" s="154"/>
      <c r="AR562" s="154"/>
      <c r="AS562" s="154"/>
      <c r="AT562" s="154"/>
      <c r="AU562" s="154"/>
      <c r="AV562" s="155"/>
      <c r="AW562" s="1784" t="str">
        <f>IF(AND(AND(AND(AND(AS542="passed",AU549="passed",BD558="passed",SUM(T609:X613)&gt;1)))),"YES","NO")</f>
        <v>YES</v>
      </c>
      <c r="AX562" s="1785"/>
      <c r="AY562" s="1786"/>
      <c r="AZ562" s="40"/>
      <c r="BA562" s="40"/>
      <c r="BB562" s="40"/>
      <c r="BC562" s="40"/>
      <c r="BD562" s="40"/>
      <c r="BE562" s="21"/>
      <c r="BF562" s="21"/>
      <c r="BG562" s="21"/>
    </row>
    <row r="563" spans="1:96" s="4" customFormat="1" ht="12.75" customHeight="1">
      <c r="B563" s="63"/>
      <c r="I563" s="220"/>
      <c r="J563" s="162"/>
      <c r="N563" s="5"/>
      <c r="O563" s="1657"/>
      <c r="P563" s="1658"/>
      <c r="Q563" s="1659"/>
      <c r="R563" s="1660"/>
      <c r="S563" s="1660"/>
      <c r="T563" s="1660"/>
      <c r="U563" s="1660"/>
      <c r="V563" s="1660"/>
      <c r="W563" s="1660"/>
      <c r="X563" s="1660"/>
      <c r="Y563" s="1674"/>
      <c r="Z563" s="1674"/>
      <c r="AA563" s="1660"/>
      <c r="AB563" s="1660"/>
      <c r="AC563" s="1674"/>
      <c r="AD563" s="1674"/>
      <c r="AE563" s="1694"/>
      <c r="AF563" s="1695"/>
      <c r="AN563" s="281"/>
    </row>
    <row r="564" spans="1:96" s="4" customFormat="1" ht="12.75" customHeight="1">
      <c r="B564" s="63"/>
      <c r="I564" s="220"/>
      <c r="J564" s="162"/>
      <c r="N564" s="5"/>
      <c r="O564" s="1657"/>
      <c r="P564" s="1658"/>
      <c r="Q564" s="1659"/>
      <c r="R564" s="1660"/>
      <c r="S564" s="1660"/>
      <c r="T564" s="1660"/>
      <c r="U564" s="1660"/>
      <c r="V564" s="1660"/>
      <c r="W564" s="1674"/>
      <c r="X564" s="1674"/>
      <c r="Y564" s="1660"/>
      <c r="Z564" s="1660"/>
      <c r="AA564" s="1674"/>
      <c r="AB564" s="1674"/>
      <c r="AC564" s="1660"/>
      <c r="AD564" s="1660"/>
      <c r="AE564" s="1787"/>
      <c r="AF564" s="1788"/>
      <c r="AN564" s="281"/>
    </row>
    <row r="565" spans="1:96" s="4" customFormat="1" ht="12.75" customHeight="1">
      <c r="B565" s="63"/>
      <c r="I565" s="220"/>
      <c r="J565" s="162"/>
      <c r="N565" s="5"/>
      <c r="O565" s="1657"/>
      <c r="P565" s="1658"/>
      <c r="Q565" s="1659"/>
      <c r="R565" s="1660"/>
      <c r="S565" s="1660"/>
      <c r="T565" s="1660"/>
      <c r="U565" s="1660"/>
      <c r="V565" s="1660"/>
      <c r="W565" s="1660"/>
      <c r="X565" s="1660"/>
      <c r="Y565" s="1674"/>
      <c r="Z565" s="1674"/>
      <c r="AA565" s="1660"/>
      <c r="AB565" s="1660"/>
      <c r="AC565" s="1674"/>
      <c r="AD565" s="1674"/>
      <c r="AE565" s="1694"/>
      <c r="AF565" s="1695"/>
      <c r="AN565" s="281"/>
      <c r="AU565" s="21"/>
      <c r="AV565" s="21"/>
      <c r="AW565" s="8"/>
      <c r="AX565" s="9"/>
      <c r="AY565" s="9"/>
      <c r="AZ565" s="60" t="s">
        <v>1126</v>
      </c>
      <c r="BA565" s="1792" t="s">
        <v>714</v>
      </c>
      <c r="BB565" s="1793"/>
      <c r="BC565" s="1793"/>
      <c r="BD565" s="1793"/>
      <c r="BE565" s="1794"/>
      <c r="BF565" s="1756">
        <f>SUM(O609:S613)</f>
        <v>71</v>
      </c>
      <c r="BG565" s="1757"/>
      <c r="BH565" s="1757"/>
      <c r="BI565" s="1757"/>
      <c r="BJ565" s="1758"/>
      <c r="BK565" s="1661">
        <f>SUM(T609:X613)</f>
        <v>15</v>
      </c>
      <c r="BL565" s="1662"/>
      <c r="BM565" s="1662"/>
      <c r="BN565" s="1662"/>
      <c r="BO565" s="1663"/>
    </row>
    <row r="566" spans="1:96" s="4" customFormat="1" ht="12.75" customHeight="1">
      <c r="B566" s="35"/>
      <c r="I566" s="1284" t="s">
        <v>1498</v>
      </c>
      <c r="J566" s="1285"/>
      <c r="K566" s="1285"/>
      <c r="L566" s="1285"/>
      <c r="M566" s="1285"/>
      <c r="N566" s="1286"/>
      <c r="O566" s="1657">
        <v>0.5</v>
      </c>
      <c r="P566" s="1658"/>
      <c r="Q566" s="1670"/>
      <c r="R566" s="1671"/>
      <c r="S566" s="1660"/>
      <c r="T566" s="1660"/>
      <c r="U566" s="1692" t="s">
        <v>1502</v>
      </c>
      <c r="V566" s="1692"/>
      <c r="W566" s="1673">
        <v>37.5</v>
      </c>
      <c r="X566" s="1673"/>
      <c r="Y566" s="1671"/>
      <c r="Z566" s="1671"/>
      <c r="AA566" s="1673"/>
      <c r="AB566" s="1673"/>
      <c r="AC566" s="1671"/>
      <c r="AD566" s="1671"/>
      <c r="AE566" s="1789"/>
      <c r="AF566" s="1790"/>
      <c r="AN566" s="281"/>
      <c r="CL566"/>
      <c r="CM566"/>
    </row>
    <row r="567" spans="1:96" s="4" customFormat="1" ht="12.75" customHeight="1">
      <c r="B567" s="120"/>
      <c r="C567" s="61"/>
      <c r="I567" s="1284"/>
      <c r="J567" s="1285"/>
      <c r="K567" s="1285"/>
      <c r="L567" s="1285"/>
      <c r="M567" s="1285"/>
      <c r="N567" s="1286"/>
      <c r="O567" s="1657">
        <v>0.45</v>
      </c>
      <c r="P567" s="1658"/>
      <c r="Q567" s="1659"/>
      <c r="R567" s="1660"/>
      <c r="S567" s="1660"/>
      <c r="T567" s="1660"/>
      <c r="U567" s="1672" t="s">
        <v>130</v>
      </c>
      <c r="V567" s="1672"/>
      <c r="W567" s="1674">
        <v>33.799999999999997</v>
      </c>
      <c r="X567" s="1674"/>
      <c r="Y567" s="1674"/>
      <c r="Z567" s="1674"/>
      <c r="AA567" s="1660"/>
      <c r="AB567" s="1660"/>
      <c r="AC567" s="1674"/>
      <c r="AD567" s="1674"/>
      <c r="AE567" s="1694"/>
      <c r="AF567" s="1695"/>
      <c r="AN567" s="281"/>
      <c r="CL567"/>
      <c r="CM567"/>
    </row>
    <row r="568" spans="1:96" s="4" customFormat="1" ht="12.75" customHeight="1">
      <c r="B568" s="5"/>
      <c r="C568" s="5"/>
      <c r="D568" s="5"/>
      <c r="E568" s="5"/>
      <c r="I568" s="1284"/>
      <c r="J568" s="1285"/>
      <c r="K568" s="1285"/>
      <c r="L568" s="1285"/>
      <c r="M568" s="1285"/>
      <c r="N568" s="1286"/>
      <c r="O568" s="1657">
        <v>0.4</v>
      </c>
      <c r="P568" s="1658"/>
      <c r="Q568" s="1659"/>
      <c r="R568" s="1660"/>
      <c r="S568" s="1672" t="s">
        <v>1501</v>
      </c>
      <c r="T568" s="1672"/>
      <c r="U568" s="1674">
        <v>20</v>
      </c>
      <c r="V568" s="1674"/>
      <c r="W568" s="1674">
        <v>30</v>
      </c>
      <c r="X568" s="1674"/>
      <c r="Y568" s="1674"/>
      <c r="Z568" s="1674"/>
      <c r="AA568" s="1674"/>
      <c r="AB568" s="1674"/>
      <c r="AC568" s="1674"/>
      <c r="AD568" s="1674"/>
      <c r="AE568" s="1694"/>
      <c r="AF568" s="1695"/>
      <c r="AN568" s="281"/>
      <c r="AP568" s="1850" t="s">
        <v>205</v>
      </c>
      <c r="AQ568" s="1851"/>
      <c r="AR568" s="1851"/>
      <c r="AS568" s="1851"/>
      <c r="AT568" s="1851"/>
      <c r="AU568" s="1851"/>
      <c r="AV568" s="1851"/>
      <c r="AW568" s="1851"/>
      <c r="AX568" s="1851"/>
      <c r="AY568" s="1851"/>
      <c r="AZ568" s="1851"/>
      <c r="BA568" s="1851"/>
      <c r="BB568" s="1851"/>
      <c r="BC568" s="1851"/>
      <c r="BD568" s="1851"/>
      <c r="BE568" s="1851"/>
      <c r="BF568" s="1851"/>
      <c r="BG568" s="1851"/>
      <c r="BH568" s="1851"/>
      <c r="BI568" s="1851"/>
      <c r="BJ568" s="1852"/>
      <c r="BK568" s="1771">
        <f>BF565</f>
        <v>71</v>
      </c>
      <c r="BL568" s="1772"/>
      <c r="BM568" s="1772"/>
      <c r="BN568" s="1772"/>
      <c r="BO568" s="177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4"/>
      <c r="J569" s="1285"/>
      <c r="K569" s="1285"/>
      <c r="L569" s="1285"/>
      <c r="M569" s="1285"/>
      <c r="N569" s="1286"/>
      <c r="O569" s="1657">
        <v>0.35</v>
      </c>
      <c r="P569" s="1658"/>
      <c r="Q569" s="1659"/>
      <c r="R569" s="1660"/>
      <c r="S569" s="1672" t="s">
        <v>1762</v>
      </c>
      <c r="T569" s="1672"/>
      <c r="U569" s="1674">
        <v>17.5</v>
      </c>
      <c r="V569" s="1674"/>
      <c r="W569" s="1674">
        <v>26.3</v>
      </c>
      <c r="X569" s="1674"/>
      <c r="Y569" s="1674">
        <v>35</v>
      </c>
      <c r="Z569" s="1674"/>
      <c r="AA569" s="1674"/>
      <c r="AB569" s="1674"/>
      <c r="AC569" s="1674">
        <v>50</v>
      </c>
      <c r="AD569" s="1674"/>
      <c r="AE569" s="1694"/>
      <c r="AF569" s="1695"/>
      <c r="AN569" s="281"/>
      <c r="AP569" s="1853"/>
      <c r="AQ569" s="1854"/>
      <c r="AR569" s="1854"/>
      <c r="AS569" s="1854"/>
      <c r="AT569" s="1854"/>
      <c r="AU569" s="1854"/>
      <c r="AV569" s="1854"/>
      <c r="AW569" s="1854"/>
      <c r="AX569" s="1854"/>
      <c r="AY569" s="1854"/>
      <c r="AZ569" s="1854"/>
      <c r="BA569" s="1854"/>
      <c r="BB569" s="1854"/>
      <c r="BC569" s="1854"/>
      <c r="BD569" s="1854"/>
      <c r="BE569" s="1854"/>
      <c r="BF569" s="1854"/>
      <c r="BG569" s="1854"/>
      <c r="BH569" s="1854"/>
      <c r="BI569" s="1854"/>
      <c r="BJ569" s="1855"/>
      <c r="BK569" s="1774"/>
      <c r="BL569" s="1775"/>
      <c r="BM569" s="1775"/>
      <c r="BN569" s="1775"/>
      <c r="BO569" s="177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4"/>
      <c r="J570" s="1285"/>
      <c r="K570" s="1285"/>
      <c r="L570" s="1285"/>
      <c r="M570" s="1285"/>
      <c r="N570" s="1286"/>
      <c r="O570" s="1657">
        <v>0.3</v>
      </c>
      <c r="P570" s="1658"/>
      <c r="Q570" s="1659"/>
      <c r="R570" s="1660"/>
      <c r="S570" s="1672" t="s">
        <v>1763</v>
      </c>
      <c r="T570" s="1672"/>
      <c r="U570" s="1674">
        <v>15</v>
      </c>
      <c r="V570" s="1674"/>
      <c r="W570" s="1674">
        <v>22.5</v>
      </c>
      <c r="X570" s="1674"/>
      <c r="Y570" s="1674">
        <v>30</v>
      </c>
      <c r="Z570" s="1674"/>
      <c r="AA570" s="1674">
        <v>37.5</v>
      </c>
      <c r="AB570" s="1674"/>
      <c r="AC570" s="1674">
        <v>45</v>
      </c>
      <c r="AD570" s="1674"/>
      <c r="AE570" s="1694"/>
      <c r="AF570" s="169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4"/>
      <c r="J571" s="1285"/>
      <c r="K571" s="1285"/>
      <c r="L571" s="1285"/>
      <c r="M571" s="1285"/>
      <c r="N571" s="1286"/>
      <c r="O571" s="1657">
        <v>0.25</v>
      </c>
      <c r="P571" s="1658"/>
      <c r="Q571" s="1659"/>
      <c r="R571" s="1660"/>
      <c r="S571" s="1672" t="s">
        <v>1764</v>
      </c>
      <c r="T571" s="1672"/>
      <c r="U571" s="1674">
        <v>12.5</v>
      </c>
      <c r="V571" s="1674"/>
      <c r="W571" s="1674">
        <v>18.8</v>
      </c>
      <c r="X571" s="1674"/>
      <c r="Y571" s="1674">
        <v>25</v>
      </c>
      <c r="Z571" s="1674"/>
      <c r="AA571" s="1674">
        <v>31.3</v>
      </c>
      <c r="AB571" s="1674"/>
      <c r="AC571" s="1674">
        <v>37.5</v>
      </c>
      <c r="AD571" s="1674"/>
      <c r="AE571" s="1694">
        <v>50</v>
      </c>
      <c r="AF571" s="1695"/>
      <c r="AN571" s="281"/>
      <c r="AP571" s="1753" t="str">
        <f t="shared" ref="AP571:AP577" si="0">J608</f>
        <v>5 BR</v>
      </c>
      <c r="AQ571" s="1754"/>
      <c r="AR571" s="1754"/>
      <c r="AS571" s="1754"/>
      <c r="AT571" s="1755"/>
      <c r="AU571" s="1373">
        <f t="shared" ref="AU571:AU576" si="1">O608</f>
        <v>0</v>
      </c>
      <c r="AV571" s="1374"/>
      <c r="AW571" s="1374"/>
      <c r="AX571" s="1374"/>
      <c r="AY571" s="1375"/>
      <c r="AZ571" s="1373">
        <f t="shared" ref="AZ571:AZ576" si="2">T608</f>
        <v>0</v>
      </c>
      <c r="BA571" s="1374"/>
      <c r="BB571" s="1374"/>
      <c r="BC571" s="1374"/>
      <c r="BD571" s="1375"/>
      <c r="BE571" s="1748">
        <f t="shared" ref="BE571:BE576" si="3">Y608</f>
        <v>0</v>
      </c>
      <c r="BF571" s="1749"/>
      <c r="BG571" s="1749"/>
      <c r="BH571" s="1749"/>
      <c r="BI571" s="1750"/>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4"/>
      <c r="J572" s="1285"/>
      <c r="K572" s="1285"/>
      <c r="L572" s="1285"/>
      <c r="M572" s="1285"/>
      <c r="N572" s="1286"/>
      <c r="O572" s="1657">
        <v>0.2</v>
      </c>
      <c r="P572" s="1658"/>
      <c r="Q572" s="1659"/>
      <c r="R572" s="1660"/>
      <c r="S572" s="1688" t="s">
        <v>1767</v>
      </c>
      <c r="T572" s="1688"/>
      <c r="U572" s="1674">
        <v>10</v>
      </c>
      <c r="V572" s="1674"/>
      <c r="W572" s="1674">
        <v>15</v>
      </c>
      <c r="X572" s="1674"/>
      <c r="Y572" s="1674">
        <v>20</v>
      </c>
      <c r="Z572" s="1674"/>
      <c r="AA572" s="1674">
        <v>25</v>
      </c>
      <c r="AB572" s="1674"/>
      <c r="AC572" s="1674">
        <v>30</v>
      </c>
      <c r="AD572" s="1674"/>
      <c r="AE572" s="1694">
        <v>40</v>
      </c>
      <c r="AF572" s="1695"/>
      <c r="AN572" s="281"/>
      <c r="AP572" s="1753" t="str">
        <f t="shared" si="0"/>
        <v>4 BR</v>
      </c>
      <c r="AQ572" s="1754"/>
      <c r="AR572" s="1754"/>
      <c r="AS572" s="1754"/>
      <c r="AT572" s="1755"/>
      <c r="AU572" s="1373">
        <f t="shared" si="1"/>
        <v>0</v>
      </c>
      <c r="AV572" s="1374"/>
      <c r="AW572" s="1374"/>
      <c r="AX572" s="1374"/>
      <c r="AY572" s="1375"/>
      <c r="AZ572" s="1373">
        <f t="shared" si="2"/>
        <v>0</v>
      </c>
      <c r="BA572" s="1374"/>
      <c r="BB572" s="1374"/>
      <c r="BC572" s="1374"/>
      <c r="BD572" s="1375"/>
      <c r="BE572" s="1748">
        <f t="shared" si="3"/>
        <v>0</v>
      </c>
      <c r="BF572" s="1749"/>
      <c r="BG572" s="1749"/>
      <c r="BH572" s="1749"/>
      <c r="BI572" s="1750"/>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4"/>
      <c r="J573" s="1285"/>
      <c r="K573" s="1285"/>
      <c r="L573" s="1285"/>
      <c r="M573" s="1285"/>
      <c r="N573" s="1286"/>
      <c r="O573" s="1657">
        <v>0.15</v>
      </c>
      <c r="P573" s="1658"/>
      <c r="Q573" s="1659"/>
      <c r="R573" s="1660"/>
      <c r="S573" s="1672" t="s">
        <v>1765</v>
      </c>
      <c r="T573" s="1672"/>
      <c r="U573" s="1674">
        <v>7.5</v>
      </c>
      <c r="V573" s="1674"/>
      <c r="W573" s="1674">
        <v>11.3</v>
      </c>
      <c r="X573" s="1674"/>
      <c r="Y573" s="1674">
        <v>15</v>
      </c>
      <c r="Z573" s="1674"/>
      <c r="AA573" s="1674">
        <v>18.8</v>
      </c>
      <c r="AB573" s="1674"/>
      <c r="AC573" s="1674">
        <v>22.5</v>
      </c>
      <c r="AD573" s="1674"/>
      <c r="AE573" s="1694">
        <v>30</v>
      </c>
      <c r="AF573" s="1695"/>
      <c r="AN573" s="281"/>
      <c r="AP573" s="1753" t="str">
        <f t="shared" si="0"/>
        <v>3 BR</v>
      </c>
      <c r="AQ573" s="1754"/>
      <c r="AR573" s="1754"/>
      <c r="AS573" s="1754"/>
      <c r="AT573" s="1755"/>
      <c r="AU573" s="1373">
        <f t="shared" si="1"/>
        <v>18</v>
      </c>
      <c r="AV573" s="1374"/>
      <c r="AW573" s="1374"/>
      <c r="AX573" s="1374"/>
      <c r="AY573" s="1375"/>
      <c r="AZ573" s="1373">
        <f t="shared" si="2"/>
        <v>5</v>
      </c>
      <c r="BA573" s="1374"/>
      <c r="BB573" s="1374"/>
      <c r="BC573" s="1374"/>
      <c r="BD573" s="1375"/>
      <c r="BE573" s="1748">
        <f t="shared" si="3"/>
        <v>0.27777777777777779</v>
      </c>
      <c r="BF573" s="1749"/>
      <c r="BG573" s="1749"/>
      <c r="BH573" s="1749"/>
      <c r="BI573" s="1750"/>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7"/>
      <c r="J574" s="1288"/>
      <c r="K574" s="1288"/>
      <c r="L574" s="1288"/>
      <c r="M574" s="1288"/>
      <c r="N574" s="1289"/>
      <c r="O574" s="1657">
        <v>0.1</v>
      </c>
      <c r="P574" s="1658"/>
      <c r="Q574" s="1686"/>
      <c r="R574" s="1687"/>
      <c r="S574" s="1672" t="s">
        <v>1766</v>
      </c>
      <c r="T574" s="1672"/>
      <c r="U574" s="1675">
        <v>5</v>
      </c>
      <c r="V574" s="1675"/>
      <c r="W574" s="1675">
        <v>7.5</v>
      </c>
      <c r="X574" s="1675"/>
      <c r="Y574" s="1675">
        <v>10</v>
      </c>
      <c r="Z574" s="1675"/>
      <c r="AA574" s="1675">
        <v>12.5</v>
      </c>
      <c r="AB574" s="1675"/>
      <c r="AC574" s="1675">
        <v>15</v>
      </c>
      <c r="AD574" s="1675"/>
      <c r="AE574" s="1877">
        <v>20</v>
      </c>
      <c r="AF574" s="1878"/>
      <c r="AK574" s="167"/>
      <c r="AL574" s="167"/>
      <c r="AM574" s="5"/>
      <c r="AN574" s="281"/>
      <c r="AP574" s="1753" t="str">
        <f t="shared" si="0"/>
        <v>2 BR</v>
      </c>
      <c r="AQ574" s="1754"/>
      <c r="AR574" s="1754"/>
      <c r="AS574" s="1754"/>
      <c r="AT574" s="1755"/>
      <c r="AU574" s="1373">
        <f t="shared" si="1"/>
        <v>29</v>
      </c>
      <c r="AV574" s="1374"/>
      <c r="AW574" s="1374"/>
      <c r="AX574" s="1374"/>
      <c r="AY574" s="1375"/>
      <c r="AZ574" s="1373">
        <f t="shared" si="2"/>
        <v>5</v>
      </c>
      <c r="BA574" s="1374"/>
      <c r="BB574" s="1374"/>
      <c r="BC574" s="1374"/>
      <c r="BD574" s="1375"/>
      <c r="BE574" s="1748">
        <f t="shared" si="3"/>
        <v>0.17241379310344829</v>
      </c>
      <c r="BF574" s="1749"/>
      <c r="BG574" s="1749"/>
      <c r="BH574" s="1749"/>
      <c r="BI574" s="1750"/>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3" t="str">
        <f t="shared" si="0"/>
        <v>1 BR</v>
      </c>
      <c r="AQ575" s="1754"/>
      <c r="AR575" s="1754"/>
      <c r="AS575" s="1754"/>
      <c r="AT575" s="1755"/>
      <c r="AU575" s="1373">
        <f t="shared" si="1"/>
        <v>24</v>
      </c>
      <c r="AV575" s="1374"/>
      <c r="AW575" s="1374"/>
      <c r="AX575" s="1374"/>
      <c r="AY575" s="1375"/>
      <c r="AZ575" s="1373">
        <f t="shared" si="2"/>
        <v>5</v>
      </c>
      <c r="BA575" s="1374"/>
      <c r="BB575" s="1374"/>
      <c r="BC575" s="1374"/>
      <c r="BD575" s="1375"/>
      <c r="BE575" s="1748">
        <f t="shared" si="3"/>
        <v>0.20833333333333334</v>
      </c>
      <c r="BF575" s="1749"/>
      <c r="BG575" s="1749"/>
      <c r="BH575" s="1749"/>
      <c r="BI575" s="1750"/>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4"/>
      <c r="F576" s="1538"/>
      <c r="G576" s="1538"/>
      <c r="H576" s="1538"/>
      <c r="I576" s="1538"/>
      <c r="J576" s="1538"/>
      <c r="K576" s="1538"/>
      <c r="L576" s="1538"/>
      <c r="M576" s="1538"/>
      <c r="N576" s="1538"/>
      <c r="O576" s="1538"/>
      <c r="P576" s="1538"/>
      <c r="Q576" s="1538"/>
      <c r="R576" s="1538"/>
      <c r="S576" s="1538"/>
      <c r="T576" s="1538"/>
      <c r="U576" s="1538"/>
      <c r="V576" s="1538"/>
      <c r="W576" s="1538"/>
      <c r="X576" s="1538"/>
      <c r="Y576" s="1538"/>
      <c r="Z576" s="1538"/>
      <c r="AA576" s="1538"/>
      <c r="AB576" s="1538"/>
      <c r="AC576" s="1538"/>
      <c r="AD576" s="1538"/>
      <c r="AE576" s="1538"/>
      <c r="AF576" s="1538"/>
      <c r="AG576" s="1538"/>
      <c r="AH576" s="1845"/>
      <c r="AN576" s="281"/>
      <c r="AP576" s="1753" t="str">
        <f t="shared" si="0"/>
        <v>SRO</v>
      </c>
      <c r="AQ576" s="1754"/>
      <c r="AR576" s="1754"/>
      <c r="AS576" s="1754"/>
      <c r="AT576" s="1755"/>
      <c r="AU576" s="1373">
        <f t="shared" si="1"/>
        <v>0</v>
      </c>
      <c r="AV576" s="1374"/>
      <c r="AW576" s="1374"/>
      <c r="AX576" s="1374"/>
      <c r="AY576" s="1375"/>
      <c r="AZ576" s="1373">
        <f t="shared" si="2"/>
        <v>0</v>
      </c>
      <c r="BA576" s="1374"/>
      <c r="BB576" s="1374"/>
      <c r="BC576" s="1374"/>
      <c r="BD576" s="1375"/>
      <c r="BE576" s="1748">
        <f t="shared" si="3"/>
        <v>0</v>
      </c>
      <c r="BF576" s="1749"/>
      <c r="BG576" s="1749"/>
      <c r="BH576" s="1749"/>
      <c r="BI576" s="1750"/>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4" t="s">
        <v>1508</v>
      </c>
      <c r="F577" s="1885"/>
      <c r="G577" s="1885"/>
      <c r="H577" s="1885"/>
      <c r="I577" s="1885"/>
      <c r="J577" s="1886"/>
      <c r="K577" s="1884" t="s">
        <v>1758</v>
      </c>
      <c r="L577" s="1885"/>
      <c r="M577" s="1885"/>
      <c r="N577" s="1885"/>
      <c r="O577" s="1885"/>
      <c r="P577" s="1886"/>
      <c r="Q577" s="1281" t="s">
        <v>1504</v>
      </c>
      <c r="R577" s="1282"/>
      <c r="S577" s="1282"/>
      <c r="T577" s="1282"/>
      <c r="U577" s="1282"/>
      <c r="V577" s="1283"/>
      <c r="W577" s="1281" t="str">
        <f>I566</f>
        <v>Percent of Low-Income Units (exclusive of manager’s units)</v>
      </c>
      <c r="X577" s="1282"/>
      <c r="Y577" s="1282"/>
      <c r="Z577" s="1282"/>
      <c r="AA577" s="1282"/>
      <c r="AB577" s="1283"/>
      <c r="AC577" s="1281" t="s">
        <v>1507</v>
      </c>
      <c r="AD577" s="1282"/>
      <c r="AE577" s="1282"/>
      <c r="AF577" s="1282"/>
      <c r="AG577" s="1282"/>
      <c r="AH577" s="1283"/>
      <c r="AN577" s="281"/>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7"/>
      <c r="F578" s="1888"/>
      <c r="G578" s="1888"/>
      <c r="H578" s="1888"/>
      <c r="I578" s="1888"/>
      <c r="J578" s="1889"/>
      <c r="K578" s="1887"/>
      <c r="L578" s="1888"/>
      <c r="M578" s="1888"/>
      <c r="N578" s="1888"/>
      <c r="O578" s="1888"/>
      <c r="P578" s="1889"/>
      <c r="Q578" s="1284"/>
      <c r="R578" s="1285"/>
      <c r="S578" s="1285"/>
      <c r="T578" s="1285"/>
      <c r="U578" s="1285"/>
      <c r="V578" s="1286"/>
      <c r="W578" s="1284"/>
      <c r="X578" s="1285"/>
      <c r="Y578" s="1285"/>
      <c r="Z578" s="1285"/>
      <c r="AA578" s="1285"/>
      <c r="AB578" s="1286"/>
      <c r="AC578" s="1284"/>
      <c r="AD578" s="1285"/>
      <c r="AE578" s="1285"/>
      <c r="AF578" s="1285"/>
      <c r="AG578" s="1285"/>
      <c r="AH578" s="1286"/>
      <c r="AN578" s="281"/>
    </row>
    <row r="579" spans="5:96" s="4" customFormat="1" ht="12.75" customHeight="1">
      <c r="E579" s="1887"/>
      <c r="F579" s="1888"/>
      <c r="G579" s="1888"/>
      <c r="H579" s="1888"/>
      <c r="I579" s="1888"/>
      <c r="J579" s="1889"/>
      <c r="K579" s="1887"/>
      <c r="L579" s="1888"/>
      <c r="M579" s="1888"/>
      <c r="N579" s="1888"/>
      <c r="O579" s="1888"/>
      <c r="P579" s="1889"/>
      <c r="Q579" s="1284"/>
      <c r="R579" s="1285"/>
      <c r="S579" s="1285"/>
      <c r="T579" s="1285"/>
      <c r="U579" s="1285"/>
      <c r="V579" s="1286"/>
      <c r="W579" s="1284"/>
      <c r="X579" s="1285"/>
      <c r="Y579" s="1285"/>
      <c r="Z579" s="1285"/>
      <c r="AA579" s="1285"/>
      <c r="AB579" s="1286"/>
      <c r="AC579" s="1284"/>
      <c r="AD579" s="1285"/>
      <c r="AE579" s="1285"/>
      <c r="AF579" s="1285"/>
      <c r="AG579" s="1285"/>
      <c r="AH579" s="1286"/>
      <c r="AN579" s="281"/>
    </row>
    <row r="580" spans="5:96" s="4" customFormat="1" ht="12.75" customHeight="1">
      <c r="E580" s="1887"/>
      <c r="F580" s="1888"/>
      <c r="G580" s="1888"/>
      <c r="H580" s="1888"/>
      <c r="I580" s="1888"/>
      <c r="J580" s="1889"/>
      <c r="K580" s="1887"/>
      <c r="L580" s="1888"/>
      <c r="M580" s="1888"/>
      <c r="N580" s="1888"/>
      <c r="O580" s="1888"/>
      <c r="P580" s="1889"/>
      <c r="Q580" s="1284"/>
      <c r="R580" s="1285"/>
      <c r="S580" s="1285"/>
      <c r="T580" s="1285"/>
      <c r="U580" s="1285"/>
      <c r="V580" s="1286"/>
      <c r="W580" s="1284"/>
      <c r="X580" s="1285"/>
      <c r="Y580" s="1285"/>
      <c r="Z580" s="1285"/>
      <c r="AA580" s="1285"/>
      <c r="AB580" s="1286"/>
      <c r="AC580" s="1284"/>
      <c r="AD580" s="1285"/>
      <c r="AE580" s="1285"/>
      <c r="AF580" s="1285"/>
      <c r="AG580" s="1285"/>
      <c r="AH580" s="1286"/>
      <c r="AN580" s="281"/>
      <c r="AP580" s="3" t="s">
        <v>1127</v>
      </c>
      <c r="BH580" s="3" t="s">
        <v>1128</v>
      </c>
    </row>
    <row r="581" spans="5:96" s="4" customFormat="1" ht="12.75" customHeight="1">
      <c r="E581" s="1645"/>
      <c r="F581" s="1646"/>
      <c r="G581" s="1646"/>
      <c r="H581" s="1646"/>
      <c r="I581" s="1646"/>
      <c r="J581" s="1647"/>
      <c r="K581" s="1661">
        <v>20</v>
      </c>
      <c r="L581" s="1662"/>
      <c r="M581" s="1662"/>
      <c r="N581" s="1662"/>
      <c r="O581" s="1662"/>
      <c r="P581" s="1663"/>
      <c r="Q581" s="1664">
        <f>IF(ISERROR(IF((((E581/$BJ$528)*100)&gt;100),"EXCESSIVE VALUE",(E581/$BJ$528)*100)),0,IF((((E581/$BJ$528)*100)&gt;100),"EXCESSIVE VALUE",(E581/$BJ$528)*100))</f>
        <v>0</v>
      </c>
      <c r="R581" s="1665"/>
      <c r="S581" s="1665"/>
      <c r="T581" s="1665"/>
      <c r="U581" s="1665"/>
      <c r="V581" s="1666"/>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61">
        <f t="shared" ref="AP581:AP586" si="5">IF(OR(BE571&gt;=0.1,BE571=0),0,1)</f>
        <v>0</v>
      </c>
      <c r="AQ581" s="1662"/>
      <c r="AR581" s="1662"/>
      <c r="AS581" s="1662"/>
      <c r="AT581" s="1663"/>
      <c r="AX581" s="1746" t="s">
        <v>794</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47"/>
    </row>
    <row r="582" spans="5:96" s="4" customFormat="1" ht="12.75" customHeight="1">
      <c r="E582" s="1645">
        <v>15</v>
      </c>
      <c r="F582" s="1646"/>
      <c r="G582" s="1646"/>
      <c r="H582" s="1646"/>
      <c r="I582" s="1646"/>
      <c r="J582" s="1647"/>
      <c r="K582" s="1661">
        <v>30</v>
      </c>
      <c r="L582" s="1662"/>
      <c r="M582" s="1662"/>
      <c r="N582" s="1662"/>
      <c r="O582" s="1662"/>
      <c r="P582" s="1663"/>
      <c r="Q582" s="1664">
        <f>IF(ISERROR(IF((((E582/$BJ$528)*100)&gt;100),"EXCESSIVE VALUE",(E582/$BJ$528)*100)),0,IF((((E582/$BJ$528)*100)&gt;100),"EXCESSIVE VALUE",(E582/$BJ$528)*100))</f>
        <v>21.12676056338028</v>
      </c>
      <c r="R582" s="1665"/>
      <c r="S582" s="1665"/>
      <c r="T582" s="1665"/>
      <c r="U582" s="1665"/>
      <c r="V582" s="1666"/>
      <c r="W582" s="1667">
        <f>IF(FLOOR(Q582,5)&gt;80,80,FLOOR(Q582,5))</f>
        <v>20</v>
      </c>
      <c r="X582" s="1668"/>
      <c r="Y582" s="1668"/>
      <c r="Z582" s="1668"/>
      <c r="AA582" s="1668"/>
      <c r="AB582" s="1669"/>
      <c r="AC582" s="1667">
        <f t="shared" si="4"/>
        <v>30</v>
      </c>
      <c r="AD582" s="1668"/>
      <c r="AE582" s="1668"/>
      <c r="AF582" s="1668"/>
      <c r="AG582" s="1668"/>
      <c r="AH582" s="1669"/>
      <c r="AN582" s="281"/>
      <c r="AO582" s="4">
        <v>4</v>
      </c>
      <c r="AP582" s="1661">
        <f t="shared" si="5"/>
        <v>0</v>
      </c>
      <c r="AQ582" s="1662"/>
      <c r="AR582" s="1662"/>
      <c r="AS582" s="1662"/>
      <c r="AT582" s="1663"/>
      <c r="AX582" s="1769" t="s">
        <v>616</v>
      </c>
      <c r="AY582" s="1770"/>
      <c r="AZ582" s="1074" t="s">
        <v>616</v>
      </c>
      <c r="BA582" s="1075"/>
      <c r="BB582" s="1769" t="s">
        <v>265</v>
      </c>
      <c r="BC582" s="1770"/>
      <c r="BD582" s="1759" t="s">
        <v>265</v>
      </c>
      <c r="BE582" s="1761"/>
      <c r="BF582" s="1769" t="s">
        <v>264</v>
      </c>
      <c r="BG582" s="1770"/>
      <c r="BH582" s="1759" t="s">
        <v>264</v>
      </c>
      <c r="BI582" s="1761"/>
      <c r="BJ582" s="1769" t="s">
        <v>263</v>
      </c>
      <c r="BK582" s="1770"/>
      <c r="BL582" s="1759" t="s">
        <v>263</v>
      </c>
      <c r="BM582" s="1761"/>
      <c r="BN582" s="1769" t="s">
        <v>615</v>
      </c>
      <c r="BO582" s="1770"/>
      <c r="BP582" s="1759" t="s">
        <v>615</v>
      </c>
      <c r="BQ582" s="1761"/>
    </row>
    <row r="583" spans="5:96" s="4" customFormat="1" ht="12.75" customHeight="1">
      <c r="E583" s="1645"/>
      <c r="F583" s="1646"/>
      <c r="G583" s="1646"/>
      <c r="H583" s="1646"/>
      <c r="I583" s="1646"/>
      <c r="J583" s="1647"/>
      <c r="K583" s="1661">
        <v>35</v>
      </c>
      <c r="L583" s="1662"/>
      <c r="M583" s="1662"/>
      <c r="N583" s="1662"/>
      <c r="O583" s="1662"/>
      <c r="P583" s="1663"/>
      <c r="Q583" s="1664">
        <f t="shared" ref="Q583:Q589" si="6">IF(ISERROR(IF((((E583/$BJ$528)*100)&gt;100),"EXCESSIVE VALUE",(E583/$BJ$528)*100)),0,IF((((E583/$BJ$528)*100)&gt;100),"EXCESSIVE VALUE",(E583/$BJ$528)*100))</f>
        <v>0</v>
      </c>
      <c r="R583" s="1665"/>
      <c r="S583" s="1665"/>
      <c r="T583" s="1665"/>
      <c r="U583" s="1665"/>
      <c r="V583" s="1666"/>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61">
        <f t="shared" si="5"/>
        <v>0</v>
      </c>
      <c r="AQ583" s="1662"/>
      <c r="AR583" s="1662"/>
      <c r="AS583" s="1662"/>
      <c r="AT583" s="1663"/>
      <c r="AX583" s="1769">
        <f>IF(AP533=1,1,0)</f>
        <v>0</v>
      </c>
      <c r="AY583" s="1770"/>
      <c r="AZ583" s="1746"/>
      <c r="BA583" s="1747"/>
      <c r="BB583" s="1767"/>
      <c r="BC583" s="1768"/>
      <c r="BD583" s="1759">
        <f>IF(AND(T609&gt;0,AP533&gt;0),1,0)</f>
        <v>0</v>
      </c>
      <c r="BE583" s="1761"/>
      <c r="BF583" s="1767"/>
      <c r="BG583" s="1768"/>
      <c r="BH583" s="1759">
        <f>IF(AND(T609&gt;0,AP533&gt;0),1,0)</f>
        <v>0</v>
      </c>
      <c r="BI583" s="1761"/>
      <c r="BJ583" s="1767"/>
      <c r="BK583" s="1768"/>
      <c r="BL583" s="1759">
        <f>IF(AND(T609&gt;0,AP533&gt;0),1,0)</f>
        <v>0</v>
      </c>
      <c r="BM583" s="1761"/>
      <c r="BN583" s="1767"/>
      <c r="BO583" s="1768"/>
      <c r="BP583" s="1759">
        <f>IF(AND(T609&gt;0,AP533&gt;0),1,0)</f>
        <v>0</v>
      </c>
      <c r="BQ583" s="1761"/>
    </row>
    <row r="584" spans="5:96" s="4" customFormat="1" ht="12.75" customHeight="1">
      <c r="E584" s="1645"/>
      <c r="F584" s="1646"/>
      <c r="G584" s="1646"/>
      <c r="H584" s="1646"/>
      <c r="I584" s="1646"/>
      <c r="J584" s="1647"/>
      <c r="K584" s="1661">
        <v>40</v>
      </c>
      <c r="L584" s="1662"/>
      <c r="M584" s="1662"/>
      <c r="N584" s="1662"/>
      <c r="O584" s="1662"/>
      <c r="P584" s="1663"/>
      <c r="Q584" s="1664">
        <f t="shared" si="6"/>
        <v>0</v>
      </c>
      <c r="R584" s="1665"/>
      <c r="S584" s="1665"/>
      <c r="T584" s="1665"/>
      <c r="U584" s="1665"/>
      <c r="V584" s="1666"/>
      <c r="W584" s="1667">
        <f t="shared" si="7"/>
        <v>0</v>
      </c>
      <c r="X584" s="1668"/>
      <c r="Y584" s="1668"/>
      <c r="Z584" s="1668"/>
      <c r="AA584" s="1668"/>
      <c r="AB584" s="1669"/>
      <c r="AC584" s="1667">
        <f t="shared" si="4"/>
        <v>0</v>
      </c>
      <c r="AD584" s="1668"/>
      <c r="AE584" s="1668"/>
      <c r="AF584" s="1668"/>
      <c r="AG584" s="1668"/>
      <c r="AH584" s="1669"/>
      <c r="AN584" s="281"/>
      <c r="AO584" s="4">
        <v>2</v>
      </c>
      <c r="AP584" s="1661">
        <f t="shared" si="5"/>
        <v>0</v>
      </c>
      <c r="AQ584" s="1662"/>
      <c r="AR584" s="1662"/>
      <c r="AS584" s="1662"/>
      <c r="AT584" s="1663"/>
      <c r="AX584" s="1767"/>
      <c r="AY584" s="1768"/>
      <c r="AZ584" s="1746"/>
      <c r="BA584" s="1747"/>
      <c r="BB584" s="1769">
        <f>IF(AP534=1,1,0)</f>
        <v>0</v>
      </c>
      <c r="BC584" s="1770"/>
      <c r="BD584" s="1746"/>
      <c r="BE584" s="1747"/>
      <c r="BF584" s="1767"/>
      <c r="BG584" s="1768"/>
      <c r="BH584" s="1759">
        <f>IF(AND(T610&gt;0,AP534&gt;0),1,0)</f>
        <v>1</v>
      </c>
      <c r="BI584" s="1761"/>
      <c r="BJ584" s="1767"/>
      <c r="BK584" s="1768"/>
      <c r="BL584" s="1759">
        <f>IF(AND(T610&gt;0,AP534&gt;0),1,0)</f>
        <v>1</v>
      </c>
      <c r="BM584" s="1761"/>
      <c r="BN584" s="1767"/>
      <c r="BO584" s="1768"/>
      <c r="BP584" s="1759">
        <f>IF(AND(T610&gt;0,AP534&gt;0),1,0)</f>
        <v>1</v>
      </c>
      <c r="BQ584" s="1761"/>
    </row>
    <row r="585" spans="5:96" s="4" customFormat="1" ht="12.75" customHeight="1">
      <c r="E585" s="1645"/>
      <c r="F585" s="1646"/>
      <c r="G585" s="1646"/>
      <c r="H585" s="1646"/>
      <c r="I585" s="1646"/>
      <c r="J585" s="1647"/>
      <c r="K585" s="1661">
        <v>45</v>
      </c>
      <c r="L585" s="1662"/>
      <c r="M585" s="1662"/>
      <c r="N585" s="1662"/>
      <c r="O585" s="1662"/>
      <c r="P585" s="1663"/>
      <c r="Q585" s="1664">
        <f t="shared" si="6"/>
        <v>0</v>
      </c>
      <c r="R585" s="1665"/>
      <c r="S585" s="1665"/>
      <c r="T585" s="1665"/>
      <c r="U585" s="1665"/>
      <c r="V585" s="1666"/>
      <c r="W585" s="1667">
        <f>IF(FLOOR(Q585,5)&gt;65,65,FLOOR(Q585,5))</f>
        <v>0</v>
      </c>
      <c r="X585" s="1668"/>
      <c r="Y585" s="1668"/>
      <c r="Z585" s="1668"/>
      <c r="AA585" s="1668"/>
      <c r="AB585" s="1669"/>
      <c r="AC585" s="1667">
        <f t="shared" si="4"/>
        <v>0</v>
      </c>
      <c r="AD585" s="1668"/>
      <c r="AE585" s="1668"/>
      <c r="AF585" s="1668"/>
      <c r="AG585" s="1668"/>
      <c r="AH585" s="1669"/>
      <c r="AN585" s="281"/>
      <c r="AO585" s="4">
        <v>1</v>
      </c>
      <c r="AP585" s="1661">
        <f t="shared" si="5"/>
        <v>0</v>
      </c>
      <c r="AQ585" s="1662"/>
      <c r="AR585" s="1662"/>
      <c r="AS585" s="1662"/>
      <c r="AT585" s="1663"/>
      <c r="AX585" s="1767"/>
      <c r="AY585" s="1768"/>
      <c r="AZ585" s="1746"/>
      <c r="BA585" s="1747"/>
      <c r="BB585" s="1767"/>
      <c r="BC585" s="1768"/>
      <c r="BD585" s="1746"/>
      <c r="BE585" s="1747"/>
      <c r="BF585" s="1769">
        <f>IF(AP535=1,1,0)</f>
        <v>0</v>
      </c>
      <c r="BG585" s="1770"/>
      <c r="BH585" s="1746"/>
      <c r="BI585" s="1747"/>
      <c r="BJ585" s="1767"/>
      <c r="BK585" s="1768"/>
      <c r="BL585" s="1759">
        <f>IF(AND(T611&gt;0,AP535&gt;0),1,0)</f>
        <v>1</v>
      </c>
      <c r="BM585" s="1761"/>
      <c r="BN585" s="1767"/>
      <c r="BO585" s="1768"/>
      <c r="BP585" s="1759">
        <f>IF(AND(T611&gt;0,AP535&gt;0),1,0)</f>
        <v>1</v>
      </c>
      <c r="BQ585" s="1761"/>
    </row>
    <row r="586" spans="5:96" s="4" customFormat="1" ht="12.75" customHeight="1">
      <c r="E586" s="1645"/>
      <c r="F586" s="1646"/>
      <c r="G586" s="1646"/>
      <c r="H586" s="1646"/>
      <c r="I586" s="1646"/>
      <c r="J586" s="1647"/>
      <c r="K586" s="1661" t="str">
        <f>IF(OR(Application!D211="Rural",Application!D211="Rural apportionment (Section 514)",Application!D211="Rural apportionment (Section 515)",Application!D211="Rural apportionment (CDBG-DR)",Application!D211="Rural apportionment (HOME)",Application!D211="Rural (Native American apportionment)"),"",50)</f>
        <v/>
      </c>
      <c r="L586" s="1662"/>
      <c r="M586" s="1662"/>
      <c r="N586" s="1662"/>
      <c r="O586" s="1662"/>
      <c r="P586" s="1663"/>
      <c r="Q586" s="1664">
        <f t="shared" si="6"/>
        <v>0</v>
      </c>
      <c r="R586" s="1665"/>
      <c r="S586" s="1665"/>
      <c r="T586" s="1665"/>
      <c r="U586" s="1665"/>
      <c r="V586" s="1666"/>
      <c r="W586" s="1667">
        <f>IF(FLOOR(Q586,5)&gt;40,40,FLOOR(Q586,5))</f>
        <v>0</v>
      </c>
      <c r="X586" s="1668"/>
      <c r="Y586" s="1668"/>
      <c r="Z586" s="1668"/>
      <c r="AA586" s="1668"/>
      <c r="AB586" s="1669"/>
      <c r="AC586" s="1667">
        <f t="shared" si="4"/>
        <v>0</v>
      </c>
      <c r="AD586" s="1668"/>
      <c r="AE586" s="1668"/>
      <c r="AF586" s="1668"/>
      <c r="AG586" s="1668"/>
      <c r="AH586" s="1669"/>
      <c r="AN586" s="281"/>
      <c r="AO586" s="4">
        <v>0</v>
      </c>
      <c r="AP586" s="1661">
        <f t="shared" si="5"/>
        <v>0</v>
      </c>
      <c r="AQ586" s="1662"/>
      <c r="AR586" s="1662"/>
      <c r="AS586" s="1662"/>
      <c r="AT586" s="1663"/>
      <c r="AX586" s="1767"/>
      <c r="AY586" s="1768"/>
      <c r="AZ586" s="1746"/>
      <c r="BA586" s="1747"/>
      <c r="BB586" s="1767"/>
      <c r="BC586" s="1768"/>
      <c r="BD586" s="1746"/>
      <c r="BE586" s="1747"/>
      <c r="BF586" s="1767"/>
      <c r="BG586" s="1768"/>
      <c r="BH586" s="1746"/>
      <c r="BI586" s="1747"/>
      <c r="BJ586" s="1769">
        <f>IF(AP536=1,1,0)</f>
        <v>0</v>
      </c>
      <c r="BK586" s="1770"/>
      <c r="BL586" s="1767"/>
      <c r="BM586" s="1768"/>
      <c r="BN586" s="1767"/>
      <c r="BO586" s="1768"/>
      <c r="BP586" s="1759">
        <f>IF(AND(T612&gt;0,AP536&gt;0),1,0)</f>
        <v>1</v>
      </c>
      <c r="BQ586" s="1761"/>
    </row>
    <row r="587" spans="5:96" s="4" customFormat="1" ht="12.75" customHeight="1">
      <c r="E587" s="1738">
        <v>29</v>
      </c>
      <c r="F587" s="1739"/>
      <c r="G587" s="1739"/>
      <c r="H587" s="1739"/>
      <c r="I587" s="1739"/>
      <c r="J587" s="1740"/>
      <c r="K587" s="1734">
        <f>IF(OR(Application!D211="Rural",Application!D211="Rural apportionment (Section 514)",Application!D211="Rural apportionment (Section 515)",Application!D211="Rural apportionment (HOME)",Application!D211="Rural apportionment (CDBG-DR)",Application!D211="Rural (Native American apportionment)"),50,"")</f>
        <v>50</v>
      </c>
      <c r="L587" s="1735"/>
      <c r="M587" s="1736" t="s">
        <v>2312</v>
      </c>
      <c r="N587" s="1736"/>
      <c r="O587" s="1736"/>
      <c r="P587" s="1737"/>
      <c r="Q587" s="1664">
        <f t="shared" si="6"/>
        <v>40.845070422535215</v>
      </c>
      <c r="R587" s="1665"/>
      <c r="S587" s="1665"/>
      <c r="T587" s="1665"/>
      <c r="U587" s="1665"/>
      <c r="V587" s="1666"/>
      <c r="W587" s="1667">
        <f>IF(FLOOR(Q587,5)&gt;50,50,FLOOR(Q587,5))</f>
        <v>40</v>
      </c>
      <c r="X587" s="1668"/>
      <c r="Y587" s="1668"/>
      <c r="Z587" s="1668"/>
      <c r="AA587" s="1668"/>
      <c r="AB587" s="1669"/>
      <c r="AC587" s="1667">
        <f>IFERROR(IF(W587&gt;0,INDEX($AT$507:$BA$521,MATCH(W587,$AS$507:$AS$521,0),MATCH(K587,$AT$506:$BA$506,0)),0),0)</f>
        <v>20</v>
      </c>
      <c r="AD587" s="1668"/>
      <c r="AE587" s="1668"/>
      <c r="AF587" s="1668"/>
      <c r="AG587" s="1668"/>
      <c r="AH587" s="1669"/>
      <c r="AN587" s="281"/>
      <c r="AP587" s="1661"/>
      <c r="AQ587" s="1662"/>
      <c r="AR587" s="1662"/>
      <c r="AS587" s="1662"/>
      <c r="AT587" s="1663"/>
      <c r="AX587" s="1767"/>
      <c r="AY587" s="1768"/>
      <c r="AZ587" s="1746"/>
      <c r="BA587" s="1747"/>
      <c r="BB587" s="1767"/>
      <c r="BC587" s="1768"/>
      <c r="BD587" s="1746"/>
      <c r="BE587" s="1747"/>
      <c r="BF587" s="1767"/>
      <c r="BG587" s="1768"/>
      <c r="BH587" s="1746"/>
      <c r="BI587" s="1747"/>
      <c r="BJ587" s="1767"/>
      <c r="BK587" s="1768"/>
      <c r="BL587" s="1767"/>
      <c r="BM587" s="1768"/>
      <c r="BN587" s="1769">
        <f>IF(AP537=1,1,0)</f>
        <v>0</v>
      </c>
      <c r="BO587" s="1770"/>
      <c r="BP587" s="1746"/>
      <c r="BQ587" s="1747"/>
    </row>
    <row r="588" spans="5:96" s="4" customFormat="1" ht="12.75" customHeight="1">
      <c r="E588" s="1738"/>
      <c r="F588" s="1739"/>
      <c r="G588" s="1739"/>
      <c r="H588" s="1739"/>
      <c r="I588" s="1739"/>
      <c r="J588" s="1740"/>
      <c r="K588" s="1734">
        <f>IF(OR(Application!D211="Rural",Application!D211="Rural apportionment (Section 514)",Application!D211="Rural apportionment (Section 515)",Application!D211="Rural apportionment (HOME)",Application!D211="Rural apportionment (CDBG-DR)",Application!D211="Rural (Native American apportionment)"),55,"")</f>
        <v>55</v>
      </c>
      <c r="L588" s="1735"/>
      <c r="M588" s="1736" t="s">
        <v>2312</v>
      </c>
      <c r="N588" s="1736"/>
      <c r="O588" s="1736"/>
      <c r="P588" s="1737"/>
      <c r="Q588" s="1664">
        <f t="shared" si="6"/>
        <v>0</v>
      </c>
      <c r="R588" s="1665"/>
      <c r="S588" s="1665"/>
      <c r="T588" s="1665"/>
      <c r="U588" s="1665"/>
      <c r="V588" s="1666"/>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69">
        <f>SUM(AX583:AY587)</f>
        <v>0</v>
      </c>
      <c r="AY588" s="1770"/>
      <c r="AZ588" s="1759">
        <f>SUM(AZ584:BA587)</f>
        <v>0</v>
      </c>
      <c r="BA588" s="1761"/>
      <c r="BB588" s="1769">
        <f>SUM(BB584:BC587)</f>
        <v>0</v>
      </c>
      <c r="BC588" s="1770"/>
      <c r="BD588" s="1759">
        <f>SUM(BD583:BE587)</f>
        <v>0</v>
      </c>
      <c r="BE588" s="1761"/>
      <c r="BF588" s="1769">
        <f>SUM(BF585:BG587)</f>
        <v>0</v>
      </c>
      <c r="BG588" s="1770"/>
      <c r="BH588" s="1759">
        <f>SUM(BH583:BI587)</f>
        <v>1</v>
      </c>
      <c r="BI588" s="1761"/>
      <c r="BJ588" s="1769">
        <f>SUM(BJ583:BK587)</f>
        <v>0</v>
      </c>
      <c r="BK588" s="1770"/>
      <c r="BL588" s="1759">
        <f>SUM(BL583:BM587)</f>
        <v>2</v>
      </c>
      <c r="BM588" s="1761"/>
      <c r="BN588" s="1769">
        <f>SUM(BN583:BO587)</f>
        <v>0</v>
      </c>
      <c r="BO588" s="1770"/>
      <c r="BP588" s="1759">
        <f>SUM(BP583:BQ587)</f>
        <v>3</v>
      </c>
      <c r="BQ588" s="1761"/>
    </row>
    <row r="589" spans="5:96" s="4" customFormat="1" ht="12.75" customHeight="1">
      <c r="E589" s="1645">
        <v>27</v>
      </c>
      <c r="F589" s="1646"/>
      <c r="G589" s="1646"/>
      <c r="H589" s="1646"/>
      <c r="I589" s="1646"/>
      <c r="J589" s="1647"/>
      <c r="K589" s="1661" t="s">
        <v>2128</v>
      </c>
      <c r="L589" s="1662"/>
      <c r="M589" s="1662"/>
      <c r="N589" s="1662"/>
      <c r="O589" s="1662"/>
      <c r="P589" s="1663"/>
      <c r="Q589" s="1664">
        <f t="shared" si="6"/>
        <v>38.028169014084504</v>
      </c>
      <c r="R589" s="1665"/>
      <c r="S589" s="1665"/>
      <c r="T589" s="1665"/>
      <c r="U589" s="1665"/>
      <c r="V589" s="1666"/>
      <c r="W589" s="1667">
        <f t="shared" si="7"/>
        <v>35</v>
      </c>
      <c r="X589" s="1668"/>
      <c r="Y589" s="1668"/>
      <c r="Z589" s="1668"/>
      <c r="AA589" s="1668"/>
      <c r="AB589" s="1669"/>
      <c r="AC589" s="1667">
        <v>0</v>
      </c>
      <c r="AD589" s="1668"/>
      <c r="AE589" s="1668"/>
      <c r="AF589" s="1668"/>
      <c r="AG589" s="1668"/>
      <c r="AH589" s="1669"/>
      <c r="AN589" s="281"/>
      <c r="AX589" s="1764">
        <f>IF(AND(AX588=1,AZ588&gt;1),1,0)</f>
        <v>0</v>
      </c>
      <c r="AY589" s="1765"/>
      <c r="AZ589" s="1765"/>
      <c r="BA589" s="1766"/>
      <c r="BB589" s="1764">
        <f>IF(AND(BB588=1,BD588&gt;=1),1,0)</f>
        <v>0</v>
      </c>
      <c r="BC589" s="1765"/>
      <c r="BD589" s="1765"/>
      <c r="BE589" s="1766"/>
      <c r="BF589" s="1764">
        <f>IF(AND(BF588=1,BH588&gt;=1),1,0)</f>
        <v>0</v>
      </c>
      <c r="BG589" s="1765"/>
      <c r="BH589" s="1765"/>
      <c r="BI589" s="1766"/>
      <c r="BJ589" s="1764">
        <f>IF(AND(BJ588=1,BL588&gt;=1),1,0)</f>
        <v>0</v>
      </c>
      <c r="BK589" s="1765"/>
      <c r="BL589" s="1765"/>
      <c r="BM589" s="1766"/>
      <c r="BN589" s="1764">
        <f>IF(AND(BN588=1,BP588&gt;=1),1,0)</f>
        <v>0</v>
      </c>
      <c r="BO589" s="1765"/>
      <c r="BP589" s="1765"/>
      <c r="BQ589" s="1766"/>
    </row>
    <row r="590" spans="5:96" s="4" customFormat="1" ht="12.75" customHeight="1">
      <c r="E590" s="1645"/>
      <c r="F590" s="1646"/>
      <c r="G590" s="1646"/>
      <c r="H590" s="1646"/>
      <c r="I590" s="1646"/>
      <c r="J590" s="1647"/>
      <c r="K590" s="1661" t="s">
        <v>2129</v>
      </c>
      <c r="L590" s="1662"/>
      <c r="M590" s="1662"/>
      <c r="N590" s="1662"/>
      <c r="O590" s="1662"/>
      <c r="P590" s="1663"/>
      <c r="Q590" s="1664">
        <f>IF(ISERROR(IF((((E590/$BJ$528)*100)&gt;100),"EXCESSIVE VALUE",(E590/$BJ$528)*100)),0,IF((((E590/$BJ$528)*100)&gt;100),"EXCESSIVE VALUE",(E590/$BJ$528)*100))</f>
        <v>0</v>
      </c>
      <c r="R590" s="1665"/>
      <c r="S590" s="1665"/>
      <c r="T590" s="1665"/>
      <c r="U590" s="1665"/>
      <c r="V590" s="1666"/>
      <c r="W590" s="1667">
        <f>IF(FLOOR(Q590,5)&gt;80,80,FLOOR(Q590,5))</f>
        <v>0</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610</v>
      </c>
      <c r="BJ590" s="1764">
        <f>AX589+BB589+BF589+BJ589+BN589</f>
        <v>0</v>
      </c>
      <c r="BK590" s="1765"/>
      <c r="BL590" s="1765"/>
      <c r="BM590" s="1766"/>
      <c r="BN590"/>
      <c r="BO590"/>
      <c r="BP590"/>
      <c r="BQ590"/>
    </row>
    <row r="591" spans="5:96" s="4" customFormat="1" ht="12.75" customHeight="1">
      <c r="E591" s="1645"/>
      <c r="F591" s="1646"/>
      <c r="G591" s="1646"/>
      <c r="H591" s="1646"/>
      <c r="I591" s="1646"/>
      <c r="J591" s="1647"/>
      <c r="K591" s="1661" t="s">
        <v>2130</v>
      </c>
      <c r="L591" s="1662"/>
      <c r="M591" s="1662"/>
      <c r="N591" s="1662"/>
      <c r="O591" s="1662"/>
      <c r="P591" s="1663"/>
      <c r="Q591" s="1664">
        <f>IF(ISERROR(IF((((E591/$BJ$528)*100)&gt;100),"EXCESSIVE VALUE",(E591/$BJ$528)*100)),0,IF((((E591/$BJ$528)*100)&gt;100),"EXCESSIVE VALUE",(E591/$BJ$528)*100))</f>
        <v>0</v>
      </c>
      <c r="R591" s="1665"/>
      <c r="S591" s="1665"/>
      <c r="T591" s="1665"/>
      <c r="U591" s="1665"/>
      <c r="V591" s="1666"/>
      <c r="W591" s="1667">
        <f>IF(FLOOR(Q591,5)&gt;80,80,FLOOR(Q591,5))</f>
        <v>0</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609</v>
      </c>
      <c r="BK591"/>
      <c r="BL591"/>
      <c r="BM591"/>
      <c r="BN591"/>
      <c r="BO591"/>
      <c r="BP591"/>
      <c r="BQ591"/>
    </row>
    <row r="592" spans="5:96" s="4" customFormat="1" ht="12.75" customHeight="1">
      <c r="E592" s="1713">
        <f>SUM(E581:J591)</f>
        <v>71</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605</v>
      </c>
      <c r="AC592" s="1846">
        <f>IF(SUM(AC581:AH591)&gt;0,SUM(AC581:AH591),0)</f>
        <v>50</v>
      </c>
      <c r="AD592" s="1847"/>
      <c r="AE592" s="1847"/>
      <c r="AF592" s="1847"/>
      <c r="AG592" s="1847"/>
      <c r="AH592" s="18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2231</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1945</v>
      </c>
      <c r="AG596" s="1690" t="s">
        <v>103</v>
      </c>
      <c r="AH596" s="1690"/>
      <c r="AI596" s="1690"/>
      <c r="AJ596" s="1690"/>
      <c r="AK596" s="5"/>
      <c r="AL596" s="5"/>
      <c r="AM596" s="5"/>
      <c r="AN596" s="281"/>
    </row>
    <row r="597" spans="1:64" s="4" customFormat="1" ht="12.75" customHeight="1">
      <c r="B597" s="1873" t="s">
        <v>2118</v>
      </c>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I597" s="21"/>
      <c r="AJ597" s="21"/>
      <c r="AK597"/>
      <c r="AL597"/>
      <c r="AM597"/>
      <c r="AN597" s="281"/>
    </row>
    <row r="598" spans="1:64" s="4" customFormat="1" ht="12.75" customHeight="1">
      <c r="A598" s="2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c r="AI598" s="21"/>
      <c r="AJ598" s="21"/>
      <c r="AK598"/>
      <c r="AL598"/>
      <c r="AM598"/>
      <c r="AN598" s="281"/>
    </row>
    <row r="599" spans="1:64" s="4" customFormat="1" ht="12.75" customHeight="1">
      <c r="A599" s="21"/>
      <c r="B599" s="1873"/>
      <c r="C599" s="1873"/>
      <c r="D599" s="1873"/>
      <c r="E599" s="1873"/>
      <c r="F599" s="1873"/>
      <c r="G599" s="1873"/>
      <c r="H599" s="1873"/>
      <c r="I599" s="1873"/>
      <c r="J599" s="1873"/>
      <c r="K599" s="1873"/>
      <c r="L599" s="1873"/>
      <c r="M599" s="1873"/>
      <c r="N599" s="1873"/>
      <c r="O599" s="1873"/>
      <c r="P599" s="1873"/>
      <c r="Q599" s="1873"/>
      <c r="R599" s="1873"/>
      <c r="S599" s="1873"/>
      <c r="T599" s="1873"/>
      <c r="U599" s="1873"/>
      <c r="V599" s="1873"/>
      <c r="W599" s="1873"/>
      <c r="X599" s="1873"/>
      <c r="Y599" s="1873"/>
      <c r="Z599" s="1873"/>
      <c r="AA599" s="1873"/>
      <c r="AB599" s="1873"/>
      <c r="AC599" s="1873"/>
      <c r="AD599" s="1873"/>
      <c r="AE599" s="1873"/>
      <c r="AF599" s="1873"/>
      <c r="AG599" s="1873"/>
      <c r="AH599" s="1873"/>
      <c r="AI599" s="21"/>
      <c r="AJ599" s="21"/>
      <c r="AK599"/>
      <c r="AL599"/>
      <c r="AM599"/>
      <c r="AN599" s="281"/>
    </row>
    <row r="600" spans="1:64" s="4" customFormat="1" ht="12.75" customHeight="1">
      <c r="A600" s="21"/>
      <c r="B600" s="1873"/>
      <c r="C600" s="1873"/>
      <c r="D600" s="1873"/>
      <c r="E600" s="1873"/>
      <c r="F600" s="1873"/>
      <c r="G600" s="1873"/>
      <c r="H600" s="1873"/>
      <c r="I600" s="1873"/>
      <c r="J600" s="1873"/>
      <c r="K600" s="1873"/>
      <c r="L600" s="1873"/>
      <c r="M600" s="1873"/>
      <c r="N600" s="1873"/>
      <c r="O600" s="1873"/>
      <c r="P600" s="1873"/>
      <c r="Q600" s="1873"/>
      <c r="R600" s="1873"/>
      <c r="S600" s="1873"/>
      <c r="T600" s="1873"/>
      <c r="U600" s="1873"/>
      <c r="V600" s="1873"/>
      <c r="W600" s="1873"/>
      <c r="X600" s="1873"/>
      <c r="Y600" s="1873"/>
      <c r="Z600" s="1873"/>
      <c r="AA600" s="1873"/>
      <c r="AB600" s="1873"/>
      <c r="AC600" s="1873"/>
      <c r="AD600" s="1873"/>
      <c r="AE600" s="1873"/>
      <c r="AF600" s="1873"/>
      <c r="AG600" s="1873"/>
      <c r="AH600" s="1873"/>
      <c r="AI600" s="21"/>
      <c r="AJ600" s="21"/>
      <c r="AK600"/>
      <c r="AL600"/>
      <c r="AM600"/>
      <c r="AN600" s="669"/>
    </row>
    <row r="601" spans="1:64">
      <c r="B601" s="1873"/>
      <c r="C601" s="1873"/>
      <c r="D601" s="1873"/>
      <c r="E601" s="1873"/>
      <c r="F601" s="1873"/>
      <c r="G601" s="1873"/>
      <c r="H601" s="1873"/>
      <c r="I601" s="1873"/>
      <c r="J601" s="1873"/>
      <c r="K601" s="1873"/>
      <c r="L601" s="1873"/>
      <c r="M601" s="1873"/>
      <c r="N601" s="1873"/>
      <c r="O601" s="1873"/>
      <c r="P601" s="1873"/>
      <c r="Q601" s="1873"/>
      <c r="R601" s="1873"/>
      <c r="S601" s="1873"/>
      <c r="T601" s="1873"/>
      <c r="U601" s="1873"/>
      <c r="V601" s="1873"/>
      <c r="W601" s="1873"/>
      <c r="X601" s="1873"/>
      <c r="Y601" s="1873"/>
      <c r="Z601" s="1873"/>
      <c r="AA601" s="1873"/>
      <c r="AB601" s="1873"/>
      <c r="AC601" s="1873"/>
      <c r="AD601" s="1873"/>
      <c r="AE601" s="1873"/>
      <c r="AF601" s="1873"/>
      <c r="AG601" s="1873"/>
      <c r="AH601" s="1873"/>
      <c r="AK601"/>
      <c r="AL601"/>
      <c r="AM601"/>
      <c r="BD601" s="21"/>
      <c r="BE601" s="21"/>
      <c r="BF601" s="21"/>
      <c r="BG601" s="21"/>
      <c r="BH601" s="21"/>
    </row>
    <row r="602" spans="1:64" ht="12.75" customHeight="1">
      <c r="B602" s="1873"/>
      <c r="C602" s="1873"/>
      <c r="D602" s="1873"/>
      <c r="E602" s="1873"/>
      <c r="F602" s="1873"/>
      <c r="G602" s="1873"/>
      <c r="H602" s="1873"/>
      <c r="I602" s="1873"/>
      <c r="J602" s="1873"/>
      <c r="K602" s="1873"/>
      <c r="L602" s="1873"/>
      <c r="M602" s="1873"/>
      <c r="N602" s="1873"/>
      <c r="O602" s="1873"/>
      <c r="P602" s="1873"/>
      <c r="Q602" s="1873"/>
      <c r="R602" s="1873"/>
      <c r="S602" s="1873"/>
      <c r="T602" s="1873"/>
      <c r="U602" s="1873"/>
      <c r="V602" s="1873"/>
      <c r="W602" s="1873"/>
      <c r="X602" s="1873"/>
      <c r="Y602" s="1873"/>
      <c r="Z602" s="1873"/>
      <c r="AA602" s="1873"/>
      <c r="AB602" s="1873"/>
      <c r="AC602" s="1873"/>
      <c r="AD602" s="1873"/>
      <c r="AE602" s="1873"/>
      <c r="AF602" s="1873"/>
      <c r="AG602" s="1873"/>
      <c r="AH602" s="1873"/>
    </row>
    <row r="603" spans="1:64" ht="12.75" customHeight="1">
      <c r="E603" s="162"/>
    </row>
    <row r="604" spans="1:64">
      <c r="J604" s="1807" t="s">
        <v>795</v>
      </c>
      <c r="K604" s="1808"/>
      <c r="L604" s="1808"/>
      <c r="M604" s="1808"/>
      <c r="N604" s="1809"/>
      <c r="O604" s="1281" t="s">
        <v>1505</v>
      </c>
      <c r="P604" s="1282"/>
      <c r="Q604" s="1282"/>
      <c r="R604" s="1282"/>
      <c r="S604" s="1283"/>
      <c r="T604" s="1281" t="s">
        <v>1768</v>
      </c>
      <c r="U604" s="1282"/>
      <c r="V604" s="1282"/>
      <c r="W604" s="1282"/>
      <c r="X604" s="1283"/>
      <c r="Y604" s="1281" t="s">
        <v>1506</v>
      </c>
      <c r="Z604" s="1282"/>
      <c r="AA604" s="1282"/>
      <c r="AB604" s="1282"/>
      <c r="AC604" s="1283"/>
      <c r="AF604"/>
      <c r="AG604"/>
      <c r="AH604"/>
      <c r="AI604"/>
      <c r="AJ604"/>
    </row>
    <row r="605" spans="1:64">
      <c r="D605"/>
      <c r="E605"/>
      <c r="F605"/>
      <c r="G605"/>
      <c r="H605"/>
      <c r="I605"/>
      <c r="J605" s="1810"/>
      <c r="K605" s="1811"/>
      <c r="L605" s="1811"/>
      <c r="M605" s="1811"/>
      <c r="N605" s="1812"/>
      <c r="O605" s="1284"/>
      <c r="P605" s="1285"/>
      <c r="Q605" s="1285"/>
      <c r="R605" s="1285"/>
      <c r="S605" s="1286"/>
      <c r="T605" s="1284"/>
      <c r="U605" s="1285"/>
      <c r="V605" s="1285"/>
      <c r="W605" s="1285"/>
      <c r="X605" s="1286"/>
      <c r="Y605" s="1284"/>
      <c r="Z605" s="1285"/>
      <c r="AA605" s="1285"/>
      <c r="AB605" s="1285"/>
      <c r="AC605" s="1286"/>
      <c r="AF605"/>
      <c r="AG605"/>
      <c r="AH605"/>
      <c r="AI605"/>
      <c r="AJ605"/>
      <c r="AO605" s="38" t="s">
        <v>2227</v>
      </c>
      <c r="AR605" s="21" t="b">
        <f>$Y$614&gt;=10%</f>
        <v>1</v>
      </c>
    </row>
    <row r="606" spans="1:64">
      <c r="I606"/>
      <c r="J606" s="1810"/>
      <c r="K606" s="1811"/>
      <c r="L606" s="1811"/>
      <c r="M606" s="1811"/>
      <c r="N606" s="1812"/>
      <c r="O606" s="1284"/>
      <c r="P606" s="1285"/>
      <c r="Q606" s="1285"/>
      <c r="R606" s="1285"/>
      <c r="S606" s="1286"/>
      <c r="T606" s="1284"/>
      <c r="U606" s="1285"/>
      <c r="V606" s="1285"/>
      <c r="W606" s="1285"/>
      <c r="X606" s="1286"/>
      <c r="Y606" s="1284"/>
      <c r="Z606" s="1285"/>
      <c r="AA606" s="1285"/>
      <c r="AB606" s="1285"/>
      <c r="AC606" s="1286"/>
      <c r="AD606"/>
      <c r="AF606"/>
      <c r="AG606"/>
      <c r="AH606"/>
      <c r="AI606"/>
      <c r="AJ606"/>
      <c r="AO606" s="38" t="s">
        <v>2228</v>
      </c>
      <c r="AR606" s="954">
        <f>ROUNDUP(($O$614*10%),0)</f>
        <v>8</v>
      </c>
    </row>
    <row r="607" spans="1:64">
      <c r="D607"/>
      <c r="E607"/>
      <c r="F607"/>
      <c r="G607"/>
      <c r="H607"/>
      <c r="I607"/>
      <c r="J607" s="1810"/>
      <c r="K607" s="1811"/>
      <c r="L607" s="1811"/>
      <c r="M607" s="1811"/>
      <c r="N607" s="1812"/>
      <c r="O607" s="1284"/>
      <c r="P607" s="1285"/>
      <c r="Q607" s="1285"/>
      <c r="R607" s="1285"/>
      <c r="S607" s="1286"/>
      <c r="T607" s="1284"/>
      <c r="U607" s="1285"/>
      <c r="V607" s="1285"/>
      <c r="W607" s="1285"/>
      <c r="X607" s="1286"/>
      <c r="Y607" s="1284"/>
      <c r="Z607" s="1285"/>
      <c r="AA607" s="1285"/>
      <c r="AB607" s="1285"/>
      <c r="AC607" s="1286"/>
      <c r="AD607"/>
      <c r="AF607"/>
      <c r="AG607"/>
      <c r="AH607"/>
      <c r="AI607"/>
      <c r="AJ607"/>
      <c r="AO607" s="38" t="s">
        <v>2229</v>
      </c>
      <c r="AR607" s="21" t="s">
        <v>2230</v>
      </c>
    </row>
    <row r="608" spans="1:64">
      <c r="D608"/>
      <c r="E608"/>
      <c r="F608"/>
      <c r="G608"/>
      <c r="H608"/>
      <c r="I608"/>
      <c r="J608" s="1722" t="s">
        <v>225</v>
      </c>
      <c r="K608" s="1723"/>
      <c r="L608" s="1723"/>
      <c r="M608" s="1723"/>
      <c r="N608" s="1724"/>
      <c r="O608" s="1661">
        <f>Application!CM626</f>
        <v>0</v>
      </c>
      <c r="P608" s="1662"/>
      <c r="Q608" s="1662"/>
      <c r="R608" s="1662"/>
      <c r="S608" s="1663"/>
      <c r="T608" s="1661">
        <f>Application!DR627</f>
        <v>0</v>
      </c>
      <c r="U608" s="1662"/>
      <c r="V608" s="1662"/>
      <c r="W608" s="1662"/>
      <c r="X608" s="1663"/>
      <c r="Y608" s="1725">
        <f t="shared" ref="Y608:Y612" si="8">IF(T608&gt;0,T608/O608,0)</f>
        <v>0</v>
      </c>
      <c r="Z608" s="1726"/>
      <c r="AA608" s="1726"/>
      <c r="AB608" s="1726"/>
      <c r="AC608" s="1727"/>
      <c r="AD608"/>
      <c r="AF608"/>
      <c r="AG608"/>
      <c r="AH608"/>
      <c r="AI608"/>
      <c r="AJ608"/>
      <c r="AO608" s="954">
        <f>ROUNDUP((O608*10%),0)</f>
        <v>0</v>
      </c>
      <c r="AP608" s="206"/>
      <c r="AR608" s="955" t="b">
        <f>OR(SUM($T$608:T608)&gt;=$AR$606,T608&gt;=AO608)</f>
        <v>1</v>
      </c>
    </row>
    <row r="609" spans="1:60">
      <c r="D609"/>
      <c r="E609"/>
      <c r="F609"/>
      <c r="G609"/>
      <c r="H609"/>
      <c r="I609"/>
      <c r="J609" s="1722" t="s">
        <v>31</v>
      </c>
      <c r="K609" s="1723"/>
      <c r="L609" s="1723"/>
      <c r="M609" s="1723"/>
      <c r="N609" s="1724"/>
      <c r="O609" s="1661">
        <f>Application!CH626</f>
        <v>0</v>
      </c>
      <c r="P609" s="1662"/>
      <c r="Q609" s="1662"/>
      <c r="R609" s="1662"/>
      <c r="S609" s="1663"/>
      <c r="T609" s="1661">
        <f>Application!DM627</f>
        <v>0</v>
      </c>
      <c r="U609" s="1662"/>
      <c r="V609" s="1662"/>
      <c r="W609" s="1662"/>
      <c r="X609" s="1663"/>
      <c r="Y609" s="1725">
        <f t="shared" si="8"/>
        <v>0</v>
      </c>
      <c r="Z609" s="1726"/>
      <c r="AA609" s="1726"/>
      <c r="AB609" s="1726"/>
      <c r="AC609" s="1727"/>
      <c r="AD609"/>
      <c r="AF609"/>
      <c r="AG609"/>
      <c r="AH609"/>
      <c r="AI609"/>
      <c r="AJ609"/>
      <c r="AO609" s="954">
        <f t="shared" ref="AO609:AO613" si="9">ROUNDUP((O609*10%),0)</f>
        <v>0</v>
      </c>
      <c r="AP609" s="206"/>
      <c r="AR609" s="955" t="b">
        <f>OR(SUM($T$608:T609)&gt;=$AR$606,T609&gt;=AO609)</f>
        <v>1</v>
      </c>
    </row>
    <row r="610" spans="1:60">
      <c r="D610"/>
      <c r="E610"/>
      <c r="F610"/>
      <c r="G610"/>
      <c r="H610"/>
      <c r="I610"/>
      <c r="J610" s="1722" t="s">
        <v>265</v>
      </c>
      <c r="K610" s="1723"/>
      <c r="L610" s="1723"/>
      <c r="M610" s="1723"/>
      <c r="N610" s="1724"/>
      <c r="O610" s="1661">
        <f>Application!CC626</f>
        <v>18</v>
      </c>
      <c r="P610" s="1662"/>
      <c r="Q610" s="1662"/>
      <c r="R610" s="1662"/>
      <c r="S610" s="1663"/>
      <c r="T610" s="1661">
        <f>Application!DH627</f>
        <v>5</v>
      </c>
      <c r="U610" s="1662"/>
      <c r="V610" s="1662"/>
      <c r="W610" s="1662"/>
      <c r="X610" s="1663"/>
      <c r="Y610" s="1725">
        <f t="shared" si="8"/>
        <v>0.27777777777777779</v>
      </c>
      <c r="Z610" s="1726"/>
      <c r="AA610" s="1726"/>
      <c r="AB610" s="1726"/>
      <c r="AC610" s="1727"/>
      <c r="AD610"/>
      <c r="AF610"/>
      <c r="AG610"/>
      <c r="AH610"/>
      <c r="AI610"/>
      <c r="AJ610"/>
      <c r="AO610" s="954">
        <f t="shared" si="9"/>
        <v>2</v>
      </c>
      <c r="AP610" s="206"/>
      <c r="AR610" s="955" t="b">
        <f>OR(SUM($T$608:T610)&gt;=$AR$606,T610&gt;=AO610)</f>
        <v>1</v>
      </c>
    </row>
    <row r="611" spans="1:60">
      <c r="D611"/>
      <c r="E611"/>
      <c r="F611"/>
      <c r="G611"/>
      <c r="H611"/>
      <c r="I611"/>
      <c r="J611" s="1722" t="s">
        <v>264</v>
      </c>
      <c r="K611" s="1723"/>
      <c r="L611" s="1723"/>
      <c r="M611" s="1723"/>
      <c r="N611" s="1724"/>
      <c r="O611" s="1661">
        <f>Application!BX626</f>
        <v>29</v>
      </c>
      <c r="P611" s="1662"/>
      <c r="Q611" s="1662"/>
      <c r="R611" s="1662"/>
      <c r="S611" s="1663"/>
      <c r="T611" s="1661">
        <f>Application!DC627</f>
        <v>5</v>
      </c>
      <c r="U611" s="1662"/>
      <c r="V611" s="1662"/>
      <c r="W611" s="1662"/>
      <c r="X611" s="1663"/>
      <c r="Y611" s="1725">
        <f t="shared" si="8"/>
        <v>0.17241379310344829</v>
      </c>
      <c r="Z611" s="1726"/>
      <c r="AA611" s="1726"/>
      <c r="AB611" s="1726"/>
      <c r="AC611" s="1727"/>
      <c r="AD611"/>
      <c r="AF611"/>
      <c r="AG611"/>
      <c r="AH611"/>
      <c r="AI611"/>
      <c r="AJ611"/>
      <c r="AO611" s="954">
        <f t="shared" si="9"/>
        <v>3</v>
      </c>
      <c r="AP611" s="206"/>
      <c r="AR611" s="955" t="b">
        <f>OR(SUM($T$608:T611)&gt;=$AR$606,T611&gt;=AO611)</f>
        <v>1</v>
      </c>
    </row>
    <row r="612" spans="1:60">
      <c r="D612"/>
      <c r="E612"/>
      <c r="F612"/>
      <c r="G612"/>
      <c r="H612"/>
      <c r="I612"/>
      <c r="J612" s="1722" t="s">
        <v>263</v>
      </c>
      <c r="K612" s="1723"/>
      <c r="L612" s="1723"/>
      <c r="M612" s="1723"/>
      <c r="N612" s="1724"/>
      <c r="O612" s="1661">
        <f>Application!BS626</f>
        <v>24</v>
      </c>
      <c r="P612" s="1662"/>
      <c r="Q612" s="1662"/>
      <c r="R612" s="1662"/>
      <c r="S612" s="1663"/>
      <c r="T612" s="1661">
        <f>Application!CX627</f>
        <v>5</v>
      </c>
      <c r="U612" s="1662"/>
      <c r="V612" s="1662"/>
      <c r="W612" s="1662"/>
      <c r="X612" s="1663"/>
      <c r="Y612" s="1725">
        <f t="shared" si="8"/>
        <v>0.20833333333333334</v>
      </c>
      <c r="Z612" s="1726"/>
      <c r="AA612" s="1726"/>
      <c r="AB612" s="1726"/>
      <c r="AC612" s="1727"/>
      <c r="AD612"/>
      <c r="AF612"/>
      <c r="AG612"/>
      <c r="AH612"/>
      <c r="AI612"/>
      <c r="AJ612"/>
      <c r="AO612" s="954">
        <f t="shared" si="9"/>
        <v>3</v>
      </c>
      <c r="AP612" s="206"/>
      <c r="AR612" s="955" t="b">
        <f>OR(SUM($T$608:T612)&gt;=$AR$606,T612&gt;=AO612)</f>
        <v>1</v>
      </c>
    </row>
    <row r="613" spans="1:60">
      <c r="D613"/>
      <c r="E613"/>
      <c r="F613"/>
      <c r="G613"/>
      <c r="H613"/>
      <c r="I613"/>
      <c r="J613" s="1722" t="s">
        <v>615</v>
      </c>
      <c r="K613" s="1723"/>
      <c r="L613" s="1723"/>
      <c r="M613" s="1723"/>
      <c r="N613" s="1724"/>
      <c r="O613" s="1661">
        <f>Application!BN626</f>
        <v>0</v>
      </c>
      <c r="P613" s="1662"/>
      <c r="Q613" s="1662"/>
      <c r="R613" s="1662"/>
      <c r="S613" s="1663"/>
      <c r="T613" s="1661">
        <f>Application!CS627</f>
        <v>0</v>
      </c>
      <c r="U613" s="1662"/>
      <c r="V613" s="1662"/>
      <c r="W613" s="1662"/>
      <c r="X613" s="1663"/>
      <c r="Y613" s="1725">
        <f>IF(T613&gt;0,T613/O613,0)</f>
        <v>0</v>
      </c>
      <c r="Z613" s="1726"/>
      <c r="AA613" s="1726"/>
      <c r="AB613" s="1726"/>
      <c r="AC613" s="1727"/>
      <c r="AD613"/>
      <c r="AF613"/>
      <c r="AG613"/>
      <c r="AH613"/>
      <c r="AI613"/>
      <c r="AJ613"/>
      <c r="AO613" s="954">
        <f t="shared" si="9"/>
        <v>0</v>
      </c>
      <c r="AP613" s="206"/>
      <c r="AR613" s="955" t="b">
        <f>OR(SUM($T$608:T613)&gt;=$AR$606,T613&gt;=AO613)</f>
        <v>1</v>
      </c>
    </row>
    <row r="614" spans="1:60">
      <c r="D614"/>
      <c r="E614"/>
      <c r="F614"/>
      <c r="G614"/>
      <c r="H614"/>
      <c r="I614"/>
      <c r="J614" s="1561" t="s">
        <v>876</v>
      </c>
      <c r="K614" s="1562"/>
      <c r="L614" s="1562"/>
      <c r="M614" s="1562"/>
      <c r="N614" s="1563"/>
      <c r="O614" s="1814">
        <f>SUM(O608:S613)</f>
        <v>71</v>
      </c>
      <c r="P614" s="1815"/>
      <c r="Q614" s="1815"/>
      <c r="R614" s="1815"/>
      <c r="S614" s="1816"/>
      <c r="T614" s="1814">
        <f>SUM(T608:X613)</f>
        <v>15</v>
      </c>
      <c r="U614" s="1815"/>
      <c r="V614" s="1815"/>
      <c r="W614" s="1815"/>
      <c r="X614" s="1816"/>
      <c r="Y614" s="1804">
        <f>IF(T614&gt;0,T614/O614,0)</f>
        <v>0.21126760563380281</v>
      </c>
      <c r="Z614" s="1805"/>
      <c r="AA614" s="1805"/>
      <c r="AB614" s="1805"/>
      <c r="AC614" s="18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1509</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4">
        <f>IF(AND(AR605,AR608,AR609,AR610,AR611,AR612,AR613),2,0)</f>
        <v>2</v>
      </c>
      <c r="AK617" s="183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3" t="s">
        <v>180</v>
      </c>
      <c r="B619" s="1813"/>
      <c r="C619" s="1813"/>
      <c r="D619" s="1813"/>
      <c r="E619" s="1813"/>
      <c r="F619" s="1813"/>
      <c r="G619" s="1813"/>
      <c r="H619" s="1813"/>
      <c r="I619" s="1813"/>
      <c r="J619" s="1813"/>
      <c r="K619" s="1813"/>
      <c r="L619" s="1813"/>
      <c r="M619" s="1813"/>
      <c r="N619" s="1813"/>
      <c r="O619" s="1813"/>
      <c r="P619" s="1813"/>
      <c r="Q619" s="1813"/>
      <c r="R619" s="1813"/>
      <c r="S619" s="1813"/>
      <c r="T619" s="1813"/>
      <c r="U619" s="1813"/>
      <c r="V619" s="1813"/>
      <c r="W619" s="1813"/>
      <c r="X619" s="1813"/>
      <c r="Y619" s="1813"/>
      <c r="Z619" s="1813"/>
      <c r="AA619" s="1813"/>
      <c r="AB619" s="1813"/>
      <c r="AC619" s="1813"/>
      <c r="AD619" s="1813"/>
      <c r="AE619" s="1813"/>
      <c r="AF619" s="1813"/>
      <c r="AG619" s="1813"/>
      <c r="AH619" s="1813"/>
      <c r="AI619" s="1813"/>
      <c r="AJ619" s="1813"/>
      <c r="AK619" s="1068">
        <f>IF($E$592=Application!G730,$AC$592+$AJ$617,0)</f>
        <v>52</v>
      </c>
      <c r="AL619" s="1069"/>
      <c r="AM619" s="1071"/>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4" t="s">
        <v>1510</v>
      </c>
      <c r="C623" s="1644"/>
      <c r="D623" s="1644"/>
      <c r="E623" s="1644"/>
      <c r="F623" s="1644"/>
      <c r="G623" s="1644"/>
      <c r="H623" s="1644"/>
      <c r="I623" s="1644"/>
      <c r="J623" s="1644"/>
      <c r="K623" s="1644"/>
      <c r="L623" s="1644"/>
      <c r="M623" s="1644"/>
      <c r="N623" s="1644"/>
      <c r="O623" s="1644"/>
      <c r="P623" s="1644"/>
      <c r="Q623" s="1644"/>
      <c r="R623" s="1644"/>
      <c r="S623" s="1644"/>
      <c r="T623" s="1644"/>
      <c r="U623" s="1644"/>
      <c r="V623" s="1644"/>
      <c r="W623" s="1644"/>
      <c r="X623" s="1644"/>
      <c r="Y623" s="1644"/>
      <c r="Z623" s="1644"/>
      <c r="AA623" s="1644"/>
      <c r="AB623" s="1644"/>
      <c r="AC623" s="1644"/>
      <c r="AD623" s="1644"/>
      <c r="AE623" s="1644"/>
      <c r="AF623" s="1644"/>
      <c r="AG623" s="1644"/>
      <c r="AH623" s="1644"/>
      <c r="AI623" s="1644"/>
      <c r="AJ623" s="1644"/>
      <c r="AK623" s="4"/>
      <c r="AL623" s="4"/>
      <c r="AM623" s="4"/>
    </row>
    <row r="624" spans="1:60">
      <c r="A624" s="4"/>
      <c r="B624" s="1644"/>
      <c r="C624" s="1644"/>
      <c r="D624" s="1644"/>
      <c r="E624" s="1644"/>
      <c r="F624" s="1644"/>
      <c r="G624" s="1644"/>
      <c r="H624" s="1644"/>
      <c r="I624" s="1644"/>
      <c r="J624" s="1644"/>
      <c r="K624" s="1644"/>
      <c r="L624" s="1644"/>
      <c r="M624" s="1644"/>
      <c r="N624" s="1644"/>
      <c r="O624" s="1644"/>
      <c r="P624" s="1644"/>
      <c r="Q624" s="1644"/>
      <c r="R624" s="1644"/>
      <c r="S624" s="1644"/>
      <c r="T624" s="1644"/>
      <c r="U624" s="1644"/>
      <c r="V624" s="1644"/>
      <c r="W624" s="1644"/>
      <c r="X624" s="1644"/>
      <c r="Y624" s="1644"/>
      <c r="Z624" s="1644"/>
      <c r="AA624" s="1644"/>
      <c r="AB624" s="1644"/>
      <c r="AC624" s="1644"/>
      <c r="AD624" s="1644"/>
      <c r="AE624" s="1644"/>
      <c r="AF624" s="1644"/>
      <c r="AG624" s="1644"/>
      <c r="AH624" s="1644"/>
      <c r="AI624" s="1644"/>
      <c r="AJ624" s="1644"/>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48" t="s">
        <v>2220</v>
      </c>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50"/>
      <c r="AF627" s="175"/>
      <c r="AG627" s="1010" t="s">
        <v>938</v>
      </c>
      <c r="AH627" s="1010"/>
      <c r="AI627" s="1010"/>
      <c r="AJ627" s="1010"/>
      <c r="AK627" s="4"/>
      <c r="AL627" s="4"/>
      <c r="AM627" s="4"/>
      <c r="AO627" s="4"/>
      <c r="AP627" s="35"/>
    </row>
    <row r="628" spans="1:44">
      <c r="A628" s="4"/>
      <c r="B628" s="20"/>
      <c r="C628" s="45"/>
      <c r="D628" s="4"/>
      <c r="E628" s="185"/>
      <c r="F628" s="1651"/>
      <c r="G628" s="1652"/>
      <c r="H628" s="1652"/>
      <c r="I628" s="1652"/>
      <c r="J628" s="1652"/>
      <c r="K628" s="1652"/>
      <c r="L628" s="1652"/>
      <c r="M628" s="1652"/>
      <c r="N628" s="1652"/>
      <c r="O628" s="1652"/>
      <c r="P628" s="1652"/>
      <c r="Q628" s="1652"/>
      <c r="R628" s="1652"/>
      <c r="S628" s="1652"/>
      <c r="T628" s="1652"/>
      <c r="U628" s="1652"/>
      <c r="V628" s="1652"/>
      <c r="W628" s="1652"/>
      <c r="X628" s="1652"/>
      <c r="Y628" s="1652"/>
      <c r="Z628" s="1652"/>
      <c r="AA628" s="1652"/>
      <c r="AB628" s="1652"/>
      <c r="AC628" s="1652"/>
      <c r="AD628" s="1652"/>
      <c r="AE628" s="1653"/>
      <c r="AF628" s="175"/>
      <c r="AG628" s="175"/>
      <c r="AH628" s="175"/>
      <c r="AI628" s="175"/>
      <c r="AJ628" s="4"/>
      <c r="AK628" s="4"/>
      <c r="AL628" s="4"/>
      <c r="AM628" s="4"/>
    </row>
    <row r="629" spans="1:44" ht="13.65" customHeight="1">
      <c r="A629" s="4"/>
      <c r="B629" s="20"/>
      <c r="C629" s="45"/>
      <c r="D629" s="4"/>
      <c r="E629" s="185"/>
      <c r="F629" s="1654"/>
      <c r="G629" s="1655"/>
      <c r="H629" s="1655"/>
      <c r="I629" s="1655"/>
      <c r="J629" s="1655"/>
      <c r="K629" s="1655"/>
      <c r="L629" s="1655"/>
      <c r="M629" s="1655"/>
      <c r="N629" s="1655"/>
      <c r="O629" s="1655"/>
      <c r="P629" s="1655"/>
      <c r="Q629" s="1655"/>
      <c r="R629" s="1655"/>
      <c r="S629" s="1655"/>
      <c r="T629" s="1655"/>
      <c r="U629" s="1655"/>
      <c r="V629" s="1655"/>
      <c r="W629" s="1655"/>
      <c r="X629" s="1655"/>
      <c r="Y629" s="1655"/>
      <c r="Z629" s="1655"/>
      <c r="AA629" s="1655"/>
      <c r="AB629" s="1655"/>
      <c r="AC629" s="1655"/>
      <c r="AD629" s="1655"/>
      <c r="AE629" s="1656"/>
      <c r="AF629" s="175"/>
      <c r="AG629" s="175"/>
      <c r="AH629" s="175"/>
      <c r="AI629" s="175"/>
      <c r="AJ629" s="4"/>
      <c r="AK629" s="4"/>
      <c r="AL629" s="4"/>
      <c r="AM629" s="4"/>
    </row>
    <row r="630" spans="1:44" ht="13.6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65" customHeight="1">
      <c r="A631" s="4"/>
      <c r="B631" s="1644" t="s">
        <v>2225</v>
      </c>
      <c r="C631" s="1644"/>
      <c r="D631" s="1644"/>
      <c r="E631" s="1644"/>
      <c r="F631" s="1644"/>
      <c r="G631" s="1644"/>
      <c r="H631" s="1644"/>
      <c r="I631" s="1644"/>
      <c r="J631" s="1644"/>
      <c r="K631" s="1644"/>
      <c r="L631" s="1644"/>
      <c r="M631" s="1644"/>
      <c r="N631" s="1644"/>
      <c r="O631" s="1644"/>
      <c r="P631" s="1644"/>
      <c r="Q631" s="1644"/>
      <c r="R631" s="1644"/>
      <c r="S631" s="1644"/>
      <c r="T631" s="1644"/>
      <c r="U631" s="1644"/>
      <c r="V631" s="1644"/>
      <c r="W631" s="1644"/>
      <c r="X631" s="1644"/>
      <c r="Y631" s="1644"/>
      <c r="Z631" s="1644"/>
      <c r="AA631" s="1644"/>
      <c r="AB631" s="1644"/>
      <c r="AC631" s="1644"/>
      <c r="AD631" s="1644"/>
      <c r="AE631" s="1644"/>
      <c r="AF631" s="1644"/>
      <c r="AG631" s="1644"/>
      <c r="AH631" s="1644"/>
      <c r="AI631" s="175"/>
      <c r="AJ631" s="4"/>
      <c r="AK631" s="4"/>
      <c r="AL631" s="4"/>
      <c r="AM631" s="4"/>
      <c r="AN631" s="79"/>
    </row>
    <row r="632" spans="1:44" ht="13.65" customHeight="1">
      <c r="B632" s="1644"/>
      <c r="C632" s="1644"/>
      <c r="D632" s="1644"/>
      <c r="E632" s="1644"/>
      <c r="F632" s="1644"/>
      <c r="G632" s="1644"/>
      <c r="H632" s="1644"/>
      <c r="I632" s="1644"/>
      <c r="J632" s="1644"/>
      <c r="K632" s="1644"/>
      <c r="L632" s="1644"/>
      <c r="M632" s="1644"/>
      <c r="N632" s="1644"/>
      <c r="O632" s="1644"/>
      <c r="P632" s="1644"/>
      <c r="Q632" s="1644"/>
      <c r="R632" s="1644"/>
      <c r="S632" s="1644"/>
      <c r="T632" s="1644"/>
      <c r="U632" s="1644"/>
      <c r="V632" s="1644"/>
      <c r="W632" s="1644"/>
      <c r="X632" s="1644"/>
      <c r="Y632" s="1644"/>
      <c r="Z632" s="1644"/>
      <c r="AA632" s="1644"/>
      <c r="AB632" s="1644"/>
      <c r="AC632" s="1644"/>
      <c r="AD632" s="1644"/>
      <c r="AE632" s="1644"/>
      <c r="AF632" s="1644"/>
      <c r="AG632" s="1644"/>
      <c r="AH632" s="1644"/>
      <c r="AI632" s="162"/>
      <c r="AJ632" s="4"/>
      <c r="AK632" s="4"/>
      <c r="AL632" s="4"/>
      <c r="AM632" s="4"/>
      <c r="AN632" s="79"/>
      <c r="AR632" s="41"/>
    </row>
    <row r="633" spans="1:44" ht="13.65" customHeight="1">
      <c r="A633" s="4"/>
      <c r="B633" s="1644"/>
      <c r="C633" s="1644"/>
      <c r="D633" s="1644"/>
      <c r="E633" s="1644"/>
      <c r="F633" s="1644"/>
      <c r="G633" s="1644"/>
      <c r="H633" s="1644"/>
      <c r="I633" s="1644"/>
      <c r="J633" s="1644"/>
      <c r="K633" s="1644"/>
      <c r="L633" s="1644"/>
      <c r="M633" s="1644"/>
      <c r="N633" s="1644"/>
      <c r="O633" s="1644"/>
      <c r="P633" s="1644"/>
      <c r="Q633" s="1644"/>
      <c r="R633" s="1644"/>
      <c r="S633" s="1644"/>
      <c r="T633" s="1644"/>
      <c r="U633" s="1644"/>
      <c r="V633" s="1644"/>
      <c r="W633" s="1644"/>
      <c r="X633" s="1644"/>
      <c r="Y633" s="1644"/>
      <c r="Z633" s="1644"/>
      <c r="AA633" s="1644"/>
      <c r="AB633" s="1644"/>
      <c r="AC633" s="1644"/>
      <c r="AD633" s="1644"/>
      <c r="AE633" s="1644"/>
      <c r="AF633" s="1644"/>
      <c r="AG633" s="1644"/>
      <c r="AH633" s="1644"/>
      <c r="AI633" s="162"/>
      <c r="AJ633" s="4"/>
      <c r="AK633" s="4"/>
      <c r="AL633" s="4"/>
      <c r="AM633" s="4"/>
      <c r="AN633" s="79"/>
    </row>
    <row r="634" spans="1:44" ht="13.65" customHeight="1">
      <c r="A634" s="4"/>
      <c r="B634" s="1644"/>
      <c r="C634" s="1644"/>
      <c r="D634" s="1644"/>
      <c r="E634" s="1644"/>
      <c r="F634" s="1644"/>
      <c r="G634" s="1644"/>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4"/>
      <c r="AI634" s="162"/>
      <c r="AJ634" s="4"/>
      <c r="AK634" s="4"/>
      <c r="AL634" s="4"/>
      <c r="AM634" s="4"/>
      <c r="AN634" s="79"/>
    </row>
    <row r="635" spans="1:44" ht="13.65" customHeight="1">
      <c r="A635" s="4"/>
      <c r="B635" s="1644"/>
      <c r="C635" s="1644"/>
      <c r="D635" s="1644"/>
      <c r="E635" s="1644"/>
      <c r="F635" s="1644"/>
      <c r="G635" s="1644"/>
      <c r="H635" s="1644"/>
      <c r="I635" s="1644"/>
      <c r="J635" s="1644"/>
      <c r="K635" s="1644"/>
      <c r="L635" s="1644"/>
      <c r="M635" s="1644"/>
      <c r="N635" s="1644"/>
      <c r="O635" s="1644"/>
      <c r="P635" s="1644"/>
      <c r="Q635" s="1644"/>
      <c r="R635" s="1644"/>
      <c r="S635" s="1644"/>
      <c r="T635" s="1644"/>
      <c r="U635" s="1644"/>
      <c r="V635" s="1644"/>
      <c r="W635" s="1644"/>
      <c r="X635" s="1644"/>
      <c r="Y635" s="1644"/>
      <c r="Z635" s="1644"/>
      <c r="AA635" s="1644"/>
      <c r="AB635" s="1644"/>
      <c r="AC635" s="1644"/>
      <c r="AD635" s="1644"/>
      <c r="AE635" s="1644"/>
      <c r="AF635" s="1644"/>
      <c r="AG635" s="1644"/>
      <c r="AH635" s="1644"/>
      <c r="AI635" s="162"/>
      <c r="AJ635" s="4"/>
      <c r="AK635" s="4"/>
      <c r="AL635" s="4"/>
      <c r="AM635" s="4"/>
      <c r="AN635" s="79"/>
    </row>
    <row r="636" spans="1:44" ht="13.65" customHeight="1">
      <c r="A636" s="4"/>
      <c r="B636" s="1644"/>
      <c r="C636" s="1644"/>
      <c r="D636" s="1644"/>
      <c r="E636" s="1644"/>
      <c r="F636" s="1644"/>
      <c r="G636" s="1644"/>
      <c r="H636" s="1644"/>
      <c r="I636" s="1644"/>
      <c r="J636" s="1644"/>
      <c r="K636" s="1644"/>
      <c r="L636" s="1644"/>
      <c r="M636" s="1644"/>
      <c r="N636" s="1644"/>
      <c r="O636" s="1644"/>
      <c r="P636" s="1644"/>
      <c r="Q636" s="1644"/>
      <c r="R636" s="1644"/>
      <c r="S636" s="1644"/>
      <c r="T636" s="1644"/>
      <c r="U636" s="1644"/>
      <c r="V636" s="1644"/>
      <c r="W636" s="1644"/>
      <c r="X636" s="1644"/>
      <c r="Y636" s="1644"/>
      <c r="Z636" s="1644"/>
      <c r="AA636" s="1644"/>
      <c r="AB636" s="1644"/>
      <c r="AC636" s="1644"/>
      <c r="AD636" s="1644"/>
      <c r="AE636" s="1644"/>
      <c r="AF636" s="1644"/>
      <c r="AG636" s="1644"/>
      <c r="AH636" s="1644"/>
      <c r="AI636" s="162"/>
      <c r="AJ636" s="4"/>
      <c r="AK636" s="4"/>
      <c r="AL636" s="4"/>
      <c r="AM636" s="4"/>
      <c r="AN636" s="79"/>
    </row>
    <row r="637" spans="1:44" ht="13.65" customHeight="1">
      <c r="A637" s="4"/>
      <c r="B637" s="1644"/>
      <c r="C637" s="1644"/>
      <c r="D637" s="1644"/>
      <c r="E637" s="1644"/>
      <c r="F637" s="1644"/>
      <c r="G637" s="1644"/>
      <c r="H637" s="1644"/>
      <c r="I637" s="1644"/>
      <c r="J637" s="1644"/>
      <c r="K637" s="1644"/>
      <c r="L637" s="1644"/>
      <c r="M637" s="1644"/>
      <c r="N637" s="1644"/>
      <c r="O637" s="1644"/>
      <c r="P637" s="1644"/>
      <c r="Q637" s="1644"/>
      <c r="R637" s="1644"/>
      <c r="S637" s="1644"/>
      <c r="T637" s="1644"/>
      <c r="U637" s="1644"/>
      <c r="V637" s="1644"/>
      <c r="W637" s="1644"/>
      <c r="X637" s="1644"/>
      <c r="Y637" s="1644"/>
      <c r="Z637" s="1644"/>
      <c r="AA637" s="1644"/>
      <c r="AB637" s="1644"/>
      <c r="AC637" s="1644"/>
      <c r="AD637" s="1644"/>
      <c r="AE637" s="1644"/>
      <c r="AF637" s="1644"/>
      <c r="AG637" s="1644"/>
      <c r="AH637" s="1644"/>
      <c r="AI637" s="162"/>
      <c r="AJ637" s="4"/>
      <c r="AK637" s="4"/>
      <c r="AL637" s="4"/>
      <c r="AM637" s="4"/>
      <c r="AN637" s="79"/>
    </row>
    <row r="638" spans="1:44">
      <c r="A638" s="4"/>
      <c r="B638" s="1644"/>
      <c r="C638" s="1644"/>
      <c r="D638" s="1644"/>
      <c r="E638" s="1644"/>
      <c r="F638" s="1644"/>
      <c r="G638" s="1644"/>
      <c r="H638" s="1644"/>
      <c r="I638" s="1644"/>
      <c r="J638" s="1644"/>
      <c r="K638" s="1644"/>
      <c r="L638" s="1644"/>
      <c r="M638" s="1644"/>
      <c r="N638" s="1644"/>
      <c r="O638" s="1644"/>
      <c r="P638" s="1644"/>
      <c r="Q638" s="1644"/>
      <c r="R638" s="1644"/>
      <c r="S638" s="1644"/>
      <c r="T638" s="1644"/>
      <c r="U638" s="1644"/>
      <c r="V638" s="1644"/>
      <c r="W638" s="1644"/>
      <c r="X638" s="1644"/>
      <c r="Y638" s="1644"/>
      <c r="Z638" s="1644"/>
      <c r="AA638" s="1644"/>
      <c r="AB638" s="1644"/>
      <c r="AC638" s="1644"/>
      <c r="AD638" s="1644"/>
      <c r="AE638" s="1644"/>
      <c r="AF638" s="1644"/>
      <c r="AG638" s="1644"/>
      <c r="AH638" s="1644"/>
      <c r="AI638" s="162"/>
      <c r="AJ638" s="4"/>
      <c r="AK638" s="4"/>
      <c r="AL638" s="4"/>
      <c r="AM638" s="4"/>
      <c r="AN638" s="79"/>
    </row>
    <row r="639" spans="1:44">
      <c r="A639" s="4"/>
      <c r="B639" s="1644"/>
      <c r="C639" s="1644"/>
      <c r="D639" s="1644"/>
      <c r="E639" s="1644"/>
      <c r="F639" s="1644"/>
      <c r="G639" s="1644"/>
      <c r="H639" s="1644"/>
      <c r="I639" s="1644"/>
      <c r="J639" s="1644"/>
      <c r="K639" s="1644"/>
      <c r="L639" s="1644"/>
      <c r="M639" s="1644"/>
      <c r="N639" s="1644"/>
      <c r="O639" s="1644"/>
      <c r="P639" s="1644"/>
      <c r="Q639" s="1644"/>
      <c r="R639" s="1644"/>
      <c r="S639" s="1644"/>
      <c r="T639" s="1644"/>
      <c r="U639" s="1644"/>
      <c r="V639" s="1644"/>
      <c r="W639" s="1644"/>
      <c r="X639" s="1644"/>
      <c r="Y639" s="1644"/>
      <c r="Z639" s="1644"/>
      <c r="AA639" s="1644"/>
      <c r="AB639" s="1644"/>
      <c r="AC639" s="1644"/>
      <c r="AD639" s="1644"/>
      <c r="AE639" s="1644"/>
      <c r="AF639" s="1644"/>
      <c r="AG639" s="1644"/>
      <c r="AH639" s="1644"/>
      <c r="AI639" s="162"/>
      <c r="AJ639" s="4"/>
      <c r="AK639" s="4"/>
      <c r="AL639" s="4"/>
      <c r="AM639" s="4"/>
      <c r="AN639" s="79"/>
    </row>
    <row r="640" spans="1:44">
      <c r="A640" s="4"/>
      <c r="B640" s="1644"/>
      <c r="C640" s="1644"/>
      <c r="D640" s="1644"/>
      <c r="E640" s="1644"/>
      <c r="F640" s="1644"/>
      <c r="G640" s="1644"/>
      <c r="H640" s="1644"/>
      <c r="I640" s="1644"/>
      <c r="J640" s="1644"/>
      <c r="K640" s="1644"/>
      <c r="L640" s="1644"/>
      <c r="M640" s="1644"/>
      <c r="N640" s="1644"/>
      <c r="O640" s="1644"/>
      <c r="P640" s="1644"/>
      <c r="Q640" s="1644"/>
      <c r="R640" s="1644"/>
      <c r="S640" s="1644"/>
      <c r="T640" s="1644"/>
      <c r="U640" s="1644"/>
      <c r="V640" s="1644"/>
      <c r="W640" s="1644"/>
      <c r="X640" s="1644"/>
      <c r="Y640" s="1644"/>
      <c r="Z640" s="1644"/>
      <c r="AA640" s="1644"/>
      <c r="AB640" s="1644"/>
      <c r="AC640" s="1644"/>
      <c r="AD640" s="1644"/>
      <c r="AE640" s="1644"/>
      <c r="AF640" s="1644"/>
      <c r="AG640" s="1644"/>
      <c r="AH640" s="1644"/>
      <c r="AI640" s="162"/>
      <c r="AJ640" s="4"/>
      <c r="AK640" s="4"/>
      <c r="AL640" s="4"/>
      <c r="AM640" s="4"/>
      <c r="AN640" s="79"/>
    </row>
    <row r="641" spans="1:60">
      <c r="A641" s="4"/>
      <c r="B641" s="1644"/>
      <c r="C641" s="1644"/>
      <c r="D641" s="1644"/>
      <c r="E641" s="1644"/>
      <c r="F641" s="1644"/>
      <c r="G641" s="1644"/>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4"/>
      <c r="AI641" s="162"/>
      <c r="AJ641" s="4"/>
      <c r="AK641" s="4"/>
      <c r="AL641" s="4"/>
      <c r="AM641" s="4"/>
      <c r="AN641" s="79"/>
    </row>
    <row r="642" spans="1:60" s="644" customFormat="1" ht="12.45" customHeight="1">
      <c r="A642" s="4"/>
      <c r="B642" s="1644"/>
      <c r="C642" s="1644"/>
      <c r="D642" s="1644"/>
      <c r="E642" s="1644"/>
      <c r="F642" s="1644"/>
      <c r="G642" s="1644"/>
      <c r="H642" s="1644"/>
      <c r="I642" s="1644"/>
      <c r="J642" s="1644"/>
      <c r="K642" s="1644"/>
      <c r="L642" s="1644"/>
      <c r="M642" s="1644"/>
      <c r="N642" s="1644"/>
      <c r="O642" s="1644"/>
      <c r="P642" s="1644"/>
      <c r="Q642" s="1644"/>
      <c r="R642" s="1644"/>
      <c r="S642" s="1644"/>
      <c r="T642" s="1644"/>
      <c r="U642" s="1644"/>
      <c r="V642" s="1644"/>
      <c r="W642" s="1644"/>
      <c r="X642" s="1644"/>
      <c r="Y642" s="1644"/>
      <c r="Z642" s="1644"/>
      <c r="AA642" s="1644"/>
      <c r="AB642" s="1644"/>
      <c r="AC642" s="1644"/>
      <c r="AD642" s="1644"/>
      <c r="AE642" s="1644"/>
      <c r="AF642" s="1644"/>
      <c r="AG642" s="1644"/>
      <c r="AH642" s="1644"/>
      <c r="AI642" s="162"/>
      <c r="AJ642" s="4"/>
      <c r="AK642" s="4"/>
      <c r="AL642" s="4"/>
      <c r="AM642" s="4"/>
      <c r="AN642" s="678"/>
      <c r="BD642" s="646"/>
      <c r="BE642" s="646"/>
      <c r="BF642" s="646"/>
      <c r="BG642" s="646"/>
      <c r="BH642" s="646"/>
    </row>
    <row r="643" spans="1:60">
      <c r="A643" s="4"/>
      <c r="B643" s="1644"/>
      <c r="C643" s="1644"/>
      <c r="D643" s="1644"/>
      <c r="E643" s="1644"/>
      <c r="F643" s="1644"/>
      <c r="G643" s="1644"/>
      <c r="H643" s="1644"/>
      <c r="I643" s="1644"/>
      <c r="J643" s="1644"/>
      <c r="K643" s="1644"/>
      <c r="L643" s="1644"/>
      <c r="M643" s="1644"/>
      <c r="N643" s="1644"/>
      <c r="O643" s="1644"/>
      <c r="P643" s="1644"/>
      <c r="Q643" s="1644"/>
      <c r="R643" s="1644"/>
      <c r="S643" s="1644"/>
      <c r="T643" s="1644"/>
      <c r="U643" s="1644"/>
      <c r="V643" s="1644"/>
      <c r="W643" s="1644"/>
      <c r="X643" s="1644"/>
      <c r="Y643" s="1644"/>
      <c r="Z643" s="1644"/>
      <c r="AA643" s="1644"/>
      <c r="AB643" s="1644"/>
      <c r="AC643" s="1644"/>
      <c r="AD643" s="1644"/>
      <c r="AE643" s="1644"/>
      <c r="AF643" s="1644"/>
      <c r="AG643" s="1644"/>
      <c r="AH643" s="164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124</v>
      </c>
      <c r="D650" s="1115"/>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108</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4" t="s">
        <v>2212</v>
      </c>
      <c r="G673" s="1644"/>
      <c r="H673" s="1644"/>
      <c r="I673" s="1644"/>
      <c r="J673" s="1644"/>
      <c r="K673" s="1644"/>
      <c r="L673" s="1644"/>
      <c r="M673" s="1644"/>
      <c r="N673" s="1644"/>
      <c r="O673" s="1644"/>
      <c r="P673" s="1644"/>
      <c r="Q673" s="1644"/>
      <c r="R673" s="1644"/>
      <c r="S673" s="1644"/>
      <c r="T673" s="1644"/>
      <c r="U673" s="1644"/>
      <c r="V673" s="1644"/>
      <c r="W673" s="1644"/>
      <c r="X673" s="1644"/>
      <c r="Y673" s="1644"/>
      <c r="Z673" s="1644"/>
      <c r="AA673" s="1644"/>
      <c r="AB673" s="1644"/>
      <c r="AC673" s="1644"/>
      <c r="AD673" s="1644"/>
      <c r="AE673" s="19"/>
      <c r="AF673" s="19"/>
      <c r="AG673" s="3" t="s">
        <v>103</v>
      </c>
      <c r="AH673" s="19"/>
      <c r="AI673" s="19"/>
      <c r="AJ673" s="4"/>
      <c r="AK673" s="4"/>
      <c r="AL673" s="4"/>
      <c r="AM673" s="4"/>
      <c r="AN673" s="79"/>
      <c r="AO673" s="21"/>
    </row>
    <row r="674" spans="1:60">
      <c r="A674" s="4"/>
      <c r="B674" s="19"/>
      <c r="C674" s="19"/>
      <c r="D674" s="19"/>
      <c r="E674" s="19"/>
      <c r="F674" s="1644"/>
      <c r="G674" s="1644"/>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9"/>
      <c r="AF674" s="19"/>
      <c r="AG674" s="19"/>
      <c r="AH674" s="19"/>
      <c r="AI674" s="19"/>
      <c r="AJ674" s="4"/>
      <c r="AK674" s="4"/>
      <c r="AL674" s="4"/>
      <c r="AM674" s="4"/>
      <c r="AN674" s="79"/>
      <c r="AO674" s="21"/>
    </row>
    <row r="675" spans="1:60" ht="0.75" customHeight="1">
      <c r="A675" s="4"/>
      <c r="B675" s="19"/>
      <c r="C675" s="19"/>
      <c r="D675" s="19"/>
      <c r="E675" s="19"/>
      <c r="F675" s="1644"/>
      <c r="G675" s="1644"/>
      <c r="H675" s="1644"/>
      <c r="I675" s="1644"/>
      <c r="J675" s="1644"/>
      <c r="K675" s="1644"/>
      <c r="L675" s="1644"/>
      <c r="M675" s="1644"/>
      <c r="N675" s="1644"/>
      <c r="O675" s="1644"/>
      <c r="P675" s="1644"/>
      <c r="Q675" s="1644"/>
      <c r="R675" s="1644"/>
      <c r="S675" s="1644"/>
      <c r="T675" s="1644"/>
      <c r="U675" s="1644"/>
      <c r="V675" s="1644"/>
      <c r="W675" s="1644"/>
      <c r="X675" s="1644"/>
      <c r="Y675" s="1644"/>
      <c r="Z675" s="1644"/>
      <c r="AA675" s="1644"/>
      <c r="AB675" s="1644"/>
      <c r="AC675" s="1644"/>
      <c r="AD675" s="164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5" t="s">
        <v>722</v>
      </c>
      <c r="B691" s="1825"/>
      <c r="C691" s="1825"/>
      <c r="D691" s="1825"/>
      <c r="E691" s="1825"/>
      <c r="F691" s="1825"/>
      <c r="G691" s="1825"/>
      <c r="H691" s="1825"/>
      <c r="I691" s="1825"/>
      <c r="J691" s="1825"/>
      <c r="K691" s="1825"/>
      <c r="L691" s="1825"/>
      <c r="M691" s="1825"/>
      <c r="N691" s="1825"/>
      <c r="O691" s="1825"/>
      <c r="P691" s="1825"/>
      <c r="Q691" s="1825"/>
      <c r="R691" s="1825"/>
      <c r="S691" s="1825"/>
      <c r="T691" s="1825"/>
      <c r="U691" s="1825"/>
      <c r="V691" s="1825"/>
      <c r="W691" s="1825"/>
      <c r="X691" s="1825"/>
      <c r="Y691" s="1825"/>
      <c r="Z691" s="1825"/>
      <c r="AA691" s="1825"/>
      <c r="AB691" s="1825"/>
      <c r="AC691" s="1825"/>
      <c r="AD691" s="1825"/>
      <c r="AE691" s="1825"/>
      <c r="AF691" s="1825"/>
      <c r="AG691" s="1825"/>
      <c r="AH691" s="1825"/>
      <c r="AI691" s="1825"/>
      <c r="AJ691" s="1825"/>
      <c r="AK691" s="1825"/>
      <c r="AL691" s="1825"/>
      <c r="AM691" s="1825"/>
      <c r="AO691" s="206"/>
      <c r="AP691" s="206"/>
      <c r="AQ691" s="206"/>
    </row>
    <row r="692" spans="1:43">
      <c r="A692" s="1826"/>
      <c r="B692" s="1826"/>
      <c r="C692" s="1826"/>
      <c r="D692" s="1826"/>
      <c r="E692" s="1826"/>
      <c r="F692" s="1826"/>
      <c r="G692" s="1826"/>
      <c r="H692" s="1826"/>
      <c r="I692" s="1826"/>
      <c r="J692" s="1826"/>
      <c r="K692" s="1826"/>
      <c r="L692" s="1826"/>
      <c r="M692" s="1826"/>
      <c r="N692" s="1826"/>
      <c r="O692" s="1826"/>
      <c r="P692" s="1826"/>
      <c r="Q692" s="1826"/>
      <c r="R692" s="1826"/>
      <c r="S692" s="1826"/>
      <c r="T692" s="1826"/>
      <c r="U692" s="1826"/>
      <c r="V692" s="1826"/>
      <c r="W692" s="1826"/>
      <c r="X692" s="1826"/>
      <c r="Y692" s="1826"/>
      <c r="Z692" s="1826"/>
      <c r="AA692" s="1826"/>
      <c r="AB692" s="1826"/>
      <c r="AC692" s="1826"/>
      <c r="AD692" s="1826"/>
      <c r="AE692" s="1826"/>
      <c r="AF692" s="1826"/>
      <c r="AG692" s="1826"/>
      <c r="AH692" s="1826"/>
      <c r="AI692" s="1826"/>
      <c r="AJ692" s="1826"/>
      <c r="AK692" s="1826"/>
      <c r="AL692" s="1826"/>
      <c r="AM692" s="1826"/>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4" t="s">
        <v>1941</v>
      </c>
      <c r="B694" s="1544"/>
      <c r="C694" s="1544"/>
      <c r="D694" s="1544"/>
      <c r="E694" s="1544"/>
      <c r="F694" s="1544"/>
      <c r="G694" s="1544"/>
      <c r="H694" s="1544"/>
      <c r="I694" s="1544"/>
      <c r="J694" s="1544"/>
      <c r="K694" s="1544"/>
      <c r="L694" s="1544"/>
      <c r="M694" s="1544"/>
      <c r="N694" s="1544"/>
      <c r="O694" s="1544"/>
      <c r="P694" s="1544"/>
      <c r="Q694" s="1544"/>
      <c r="R694" s="1544"/>
      <c r="S694" s="1544"/>
      <c r="T694" s="1544"/>
      <c r="U694" s="1544"/>
      <c r="V694" s="1544"/>
      <c r="W694" s="1544"/>
      <c r="X694" s="1544"/>
      <c r="Y694" s="1544"/>
      <c r="Z694" s="1544"/>
      <c r="AA694" s="1544"/>
      <c r="AB694" s="1544"/>
      <c r="AC694" s="1544"/>
      <c r="AD694" s="1544"/>
      <c r="AE694" s="1544"/>
      <c r="AF694" s="1544"/>
      <c r="AG694" s="1544"/>
      <c r="AH694" s="1544"/>
      <c r="AI694" s="1544"/>
      <c r="AJ694" s="1544"/>
      <c r="AK694" s="1544"/>
      <c r="AL694" s="1544"/>
      <c r="AM694" s="1544"/>
      <c r="AO694" s="206">
        <f>IF(T703&gt;15,15,T703)</f>
        <v>15</v>
      </c>
      <c r="AP694" s="206"/>
      <c r="AQ694" s="206"/>
    </row>
    <row r="695" spans="1:43">
      <c r="A695" s="1544" t="s">
        <v>1942</v>
      </c>
      <c r="B695" s="1544"/>
      <c r="C695" s="1544"/>
      <c r="D695" s="1544"/>
      <c r="E695" s="1544"/>
      <c r="F695" s="1544"/>
      <c r="G695" s="1544"/>
      <c r="H695" s="1544"/>
      <c r="I695" s="1544"/>
      <c r="J695" s="1544"/>
      <c r="K695" s="1544"/>
      <c r="L695" s="1544"/>
      <c r="M695" s="1544"/>
      <c r="N695" s="1544"/>
      <c r="O695" s="1544"/>
      <c r="P695" s="1544"/>
      <c r="Q695" s="1544"/>
      <c r="R695" s="1544"/>
      <c r="S695" s="1544"/>
      <c r="T695" s="1544"/>
      <c r="U695" s="1544"/>
      <c r="V695" s="1544"/>
      <c r="W695" s="1544"/>
      <c r="X695" s="1544"/>
      <c r="Y695" s="1544"/>
      <c r="Z695" s="1544"/>
      <c r="AA695" s="1544"/>
      <c r="AB695" s="1544"/>
      <c r="AC695" s="1544"/>
      <c r="AD695" s="1544"/>
      <c r="AE695" s="1544"/>
      <c r="AF695" s="1544"/>
      <c r="AG695" s="1544"/>
      <c r="AH695" s="1544"/>
      <c r="AI695" s="1544"/>
      <c r="AJ695" s="1544"/>
      <c r="AK695" s="1544"/>
      <c r="AL695" s="1544"/>
      <c r="AM695" s="154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7" t="s">
        <v>270</v>
      </c>
      <c r="C698" s="1717"/>
      <c r="D698" s="1717"/>
      <c r="E698" s="1717"/>
      <c r="F698" s="1717"/>
      <c r="G698" s="1717"/>
      <c r="H698" s="1717"/>
      <c r="I698" s="1717"/>
      <c r="J698" s="1717"/>
      <c r="K698" s="1717"/>
      <c r="L698" s="1717"/>
      <c r="M698" s="1717"/>
      <c r="N698" s="1717"/>
      <c r="O698" s="1717"/>
      <c r="P698" s="1717"/>
      <c r="Q698" s="1717"/>
      <c r="R698" s="1717"/>
      <c r="S698" s="1718"/>
      <c r="T698" s="1741">
        <f>SUM(T699:Y700)</f>
        <v>10</v>
      </c>
      <c r="U698" s="1741"/>
      <c r="V698" s="1741"/>
      <c r="W698" s="1741"/>
      <c r="X698" s="1741"/>
      <c r="Y698" s="1741"/>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19" t="s">
        <v>236</v>
      </c>
      <c r="F699" s="1719"/>
      <c r="G699" s="1719"/>
      <c r="H699" s="1719"/>
      <c r="I699" s="1719"/>
      <c r="J699" s="1719"/>
      <c r="K699" s="1719"/>
      <c r="L699" s="1719"/>
      <c r="M699" s="1719"/>
      <c r="N699" s="1719"/>
      <c r="O699" s="1719"/>
      <c r="P699" s="1719"/>
      <c r="Q699" s="1719"/>
      <c r="R699" s="1719"/>
      <c r="S699" s="1720"/>
      <c r="T699" s="1721">
        <f>AJ31</f>
        <v>7</v>
      </c>
      <c r="U699" s="1721"/>
      <c r="V699" s="1721"/>
      <c r="W699" s="1721"/>
      <c r="X699" s="1721"/>
      <c r="Y699" s="1721"/>
      <c r="Z699" s="1745">
        <v>7</v>
      </c>
      <c r="AA699" s="1745"/>
      <c r="AB699" s="1745"/>
      <c r="AC699" s="1745"/>
      <c r="AD699" s="1745"/>
      <c r="AE699" s="1745"/>
      <c r="AF699" s="1827"/>
      <c r="AG699" s="1827"/>
      <c r="AH699" s="1827"/>
      <c r="AI699" s="1827"/>
      <c r="AJ699" s="1827"/>
      <c r="AK699" s="1827"/>
      <c r="AL699" s="778"/>
      <c r="AM699" s="20"/>
    </row>
    <row r="700" spans="1:43">
      <c r="A700" s="616"/>
      <c r="B700" s="615"/>
      <c r="C700" s="615"/>
      <c r="D700" s="306" t="s">
        <v>428</v>
      </c>
      <c r="E700" s="1719" t="s">
        <v>237</v>
      </c>
      <c r="F700" s="1719"/>
      <c r="G700" s="1719"/>
      <c r="H700" s="1719"/>
      <c r="I700" s="1719"/>
      <c r="J700" s="1719"/>
      <c r="K700" s="1719"/>
      <c r="L700" s="1719"/>
      <c r="M700" s="1719"/>
      <c r="N700" s="1719"/>
      <c r="O700" s="1719"/>
      <c r="P700" s="1719"/>
      <c r="Q700" s="1719"/>
      <c r="R700" s="1719"/>
      <c r="S700" s="1720"/>
      <c r="T700" s="1721">
        <f>AJ47</f>
        <v>3</v>
      </c>
      <c r="U700" s="1721"/>
      <c r="V700" s="1721"/>
      <c r="W700" s="1721"/>
      <c r="X700" s="1721"/>
      <c r="Y700" s="1721"/>
      <c r="Z700" s="1745">
        <v>3</v>
      </c>
      <c r="AA700" s="1745"/>
      <c r="AB700" s="1745"/>
      <c r="AC700" s="1745"/>
      <c r="AD700" s="1745"/>
      <c r="AE700" s="1745"/>
      <c r="AF700" s="1827"/>
      <c r="AG700" s="1827"/>
      <c r="AH700" s="1827"/>
      <c r="AI700" s="1827"/>
      <c r="AJ700" s="1827"/>
      <c r="AK700" s="1827"/>
      <c r="AL700" s="778"/>
      <c r="AM700" s="20"/>
    </row>
    <row r="701" spans="1:43">
      <c r="A701" s="594" t="s">
        <v>8</v>
      </c>
      <c r="B701" s="1717" t="s">
        <v>271</v>
      </c>
      <c r="C701" s="1717"/>
      <c r="D701" s="1717"/>
      <c r="E701" s="1717"/>
      <c r="F701" s="1717"/>
      <c r="G701" s="1717"/>
      <c r="H701" s="1717"/>
      <c r="I701" s="1717"/>
      <c r="J701" s="1717"/>
      <c r="K701" s="1717"/>
      <c r="L701" s="1717"/>
      <c r="M701" s="1717"/>
      <c r="N701" s="1717"/>
      <c r="O701" s="1717"/>
      <c r="P701" s="1717"/>
      <c r="Q701" s="1717"/>
      <c r="R701" s="1717"/>
      <c r="S701" s="1718"/>
      <c r="T701" s="1741">
        <f>AK68</f>
        <v>10</v>
      </c>
      <c r="U701" s="1741"/>
      <c r="V701" s="1741"/>
      <c r="W701" s="1741"/>
      <c r="X701" s="1741"/>
      <c r="Y701" s="1741"/>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7" t="s">
        <v>272</v>
      </c>
      <c r="C702" s="1717"/>
      <c r="D702" s="1717"/>
      <c r="E702" s="1717"/>
      <c r="F702" s="1717"/>
      <c r="G702" s="1717"/>
      <c r="H702" s="1717"/>
      <c r="I702" s="1717"/>
      <c r="J702" s="1717"/>
      <c r="K702" s="1717"/>
      <c r="L702" s="1717"/>
      <c r="M702" s="1717"/>
      <c r="N702" s="1717"/>
      <c r="O702" s="1717"/>
      <c r="P702" s="1717"/>
      <c r="Q702" s="1717"/>
      <c r="R702" s="1717"/>
      <c r="S702" s="1718"/>
      <c r="T702" s="1741">
        <f>AO693</f>
        <v>25</v>
      </c>
      <c r="U702" s="1741">
        <f>IF(AND(AND(A703&gt;15,15+A704),A704&gt;10,A703+10),A702,0)</f>
        <v>0</v>
      </c>
      <c r="V702" s="1741">
        <f>IF(AND(AND(B703&gt;15,15+B704),B704&gt;10,B703+10),#REF!,0)</f>
        <v>0</v>
      </c>
      <c r="W702" s="1741">
        <f>IF(AND(AND(C703&gt;15,15+C704),C704&gt;10,C703+10),B702,0)</f>
        <v>0</v>
      </c>
      <c r="X702" s="1741" t="e">
        <f>IF(AND(AND(D703&gt;15,15+D704),D704&gt;10,D703+10),D702,0)</f>
        <v>#VALUE!</v>
      </c>
      <c r="Y702" s="1741"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1468</v>
      </c>
      <c r="E703" s="1719" t="s">
        <v>294</v>
      </c>
      <c r="F703" s="1719"/>
      <c r="G703" s="1719"/>
      <c r="H703" s="1719"/>
      <c r="I703" s="1719"/>
      <c r="J703" s="1719"/>
      <c r="K703" s="1719"/>
      <c r="L703" s="1719"/>
      <c r="M703" s="1719"/>
      <c r="N703" s="1719"/>
      <c r="O703" s="1719"/>
      <c r="P703" s="1719"/>
      <c r="Q703" s="1719"/>
      <c r="R703" s="1719"/>
      <c r="S703" s="1720"/>
      <c r="T703" s="1721">
        <f>AK283</f>
        <v>27</v>
      </c>
      <c r="U703" s="1721"/>
      <c r="V703" s="1721"/>
      <c r="W703" s="1721"/>
      <c r="X703" s="1721"/>
      <c r="Y703" s="1721"/>
      <c r="Z703" s="1745">
        <v>15</v>
      </c>
      <c r="AA703" s="1745"/>
      <c r="AB703" s="1745"/>
      <c r="AC703" s="1745"/>
      <c r="AD703" s="1745"/>
      <c r="AE703" s="1745"/>
      <c r="AF703" s="1827"/>
      <c r="AG703" s="1827"/>
      <c r="AH703" s="1827"/>
      <c r="AI703" s="1827"/>
      <c r="AJ703" s="1827"/>
      <c r="AK703" s="1827"/>
      <c r="AL703" s="778"/>
      <c r="AM703" s="20"/>
    </row>
    <row r="704" spans="1:43">
      <c r="A704" s="617"/>
      <c r="B704" s="90"/>
      <c r="C704" s="90"/>
      <c r="D704" s="618" t="s">
        <v>1469</v>
      </c>
      <c r="E704" s="1719" t="s">
        <v>295</v>
      </c>
      <c r="F704" s="1719"/>
      <c r="G704" s="1719"/>
      <c r="H704" s="1719"/>
      <c r="I704" s="1719"/>
      <c r="J704" s="1719"/>
      <c r="K704" s="1719"/>
      <c r="L704" s="1719"/>
      <c r="M704" s="1719"/>
      <c r="N704" s="1719"/>
      <c r="O704" s="1719"/>
      <c r="P704" s="1719"/>
      <c r="Q704" s="1719"/>
      <c r="R704" s="1719"/>
      <c r="S704" s="1720"/>
      <c r="T704" s="1721">
        <f>AK474</f>
        <v>10</v>
      </c>
      <c r="U704" s="1721"/>
      <c r="V704" s="1721"/>
      <c r="W704" s="1721"/>
      <c r="X704" s="1721"/>
      <c r="Y704" s="1721"/>
      <c r="Z704" s="1745">
        <v>10</v>
      </c>
      <c r="AA704" s="1745"/>
      <c r="AB704" s="1745"/>
      <c r="AC704" s="1745"/>
      <c r="AD704" s="1745"/>
      <c r="AE704" s="1745"/>
      <c r="AF704" s="1827"/>
      <c r="AG704" s="1827"/>
      <c r="AH704" s="1827"/>
      <c r="AI704" s="1827"/>
      <c r="AJ704" s="1827"/>
      <c r="AK704" s="1827"/>
      <c r="AL704" s="778"/>
      <c r="AM704" s="20"/>
    </row>
    <row r="705" spans="1:39" hidden="1">
      <c r="A705" s="594" t="s">
        <v>122</v>
      </c>
      <c r="B705" s="1717" t="s">
        <v>540</v>
      </c>
      <c r="C705" s="1717"/>
      <c r="D705" s="1717"/>
      <c r="E705" s="1717"/>
      <c r="F705" s="1717"/>
      <c r="G705" s="1717"/>
      <c r="H705" s="1717"/>
      <c r="I705" s="1717"/>
      <c r="J705" s="1717"/>
      <c r="K705" s="1717"/>
      <c r="L705" s="1717"/>
      <c r="M705" s="1717"/>
      <c r="N705" s="1717"/>
      <c r="O705" s="1717"/>
      <c r="P705" s="1717"/>
      <c r="Q705" s="1717"/>
      <c r="R705" s="1717"/>
      <c r="S705" s="1718"/>
      <c r="T705" s="1741"/>
      <c r="U705" s="1741"/>
      <c r="V705" s="1741"/>
      <c r="W705" s="1741"/>
      <c r="X705" s="1741"/>
      <c r="Y705" s="1741"/>
      <c r="Z705" s="1225"/>
      <c r="AA705" s="1225"/>
      <c r="AB705" s="1225"/>
      <c r="AC705" s="1225"/>
      <c r="AD705" s="1225"/>
      <c r="AE705" s="1225"/>
      <c r="AF705" s="1225"/>
      <c r="AG705" s="1225"/>
      <c r="AH705" s="1225"/>
      <c r="AI705" s="1225"/>
      <c r="AJ705" s="1225"/>
      <c r="AK705" s="1225"/>
      <c r="AL705" s="778"/>
      <c r="AM705" s="20"/>
    </row>
    <row r="706" spans="1:39">
      <c r="A706" s="594" t="s">
        <v>122</v>
      </c>
      <c r="B706" s="1717" t="s">
        <v>541</v>
      </c>
      <c r="C706" s="1717"/>
      <c r="D706" s="1717"/>
      <c r="E706" s="1717"/>
      <c r="F706" s="1717"/>
      <c r="G706" s="1717"/>
      <c r="H706" s="1717"/>
      <c r="I706" s="1717"/>
      <c r="J706" s="1717"/>
      <c r="K706" s="1717"/>
      <c r="L706" s="1717"/>
      <c r="M706" s="1717"/>
      <c r="N706" s="1717"/>
      <c r="O706" s="1717"/>
      <c r="P706" s="1717"/>
      <c r="Q706" s="1717"/>
      <c r="R706" s="1717"/>
      <c r="S706" s="1718"/>
      <c r="T706" s="1817">
        <f>IF(SUM(T707:Y708)&gt;52,52,SUM(T707:Y708))</f>
        <v>52</v>
      </c>
      <c r="U706" s="1818"/>
      <c r="V706" s="1818"/>
      <c r="W706" s="1818"/>
      <c r="X706" s="1818"/>
      <c r="Y706" s="1818"/>
      <c r="Z706" s="1818">
        <v>52</v>
      </c>
      <c r="AA706" s="1818"/>
      <c r="AB706" s="1818"/>
      <c r="AC706" s="1818"/>
      <c r="AD706" s="1818"/>
      <c r="AE706" s="1818"/>
      <c r="AF706" s="1818">
        <f>$AO$698+$T$708</f>
        <v>52</v>
      </c>
      <c r="AG706" s="1818"/>
      <c r="AH706" s="1818"/>
      <c r="AI706" s="1818"/>
      <c r="AJ706" s="1818"/>
      <c r="AK706" s="1818"/>
      <c r="AL706" s="778"/>
      <c r="AM706" s="20"/>
    </row>
    <row r="707" spans="1:39">
      <c r="A707" s="619"/>
      <c r="B707" s="621"/>
      <c r="C707" s="621"/>
      <c r="D707" s="622" t="s">
        <v>2217</v>
      </c>
      <c r="E707" s="1719" t="s">
        <v>183</v>
      </c>
      <c r="F707" s="1719"/>
      <c r="G707" s="1719"/>
      <c r="H707" s="1719"/>
      <c r="I707" s="1719"/>
      <c r="J707" s="1719"/>
      <c r="K707" s="1719"/>
      <c r="L707" s="1719"/>
      <c r="M707" s="1719"/>
      <c r="N707" s="1719"/>
      <c r="O707" s="1719"/>
      <c r="P707" s="1719"/>
      <c r="Q707" s="1719"/>
      <c r="R707" s="1719"/>
      <c r="S707" s="1720"/>
      <c r="T707" s="1742">
        <f>AC592</f>
        <v>50</v>
      </c>
      <c r="U707" s="1743"/>
      <c r="V707" s="1743"/>
      <c r="W707" s="1743"/>
      <c r="X707" s="1743"/>
      <c r="Y707" s="1744"/>
      <c r="Z707" s="1742">
        <v>50</v>
      </c>
      <c r="AA707" s="1743"/>
      <c r="AB707" s="1743"/>
      <c r="AC707" s="1743"/>
      <c r="AD707" s="1743"/>
      <c r="AE707" s="1744"/>
      <c r="AF707" s="1822"/>
      <c r="AG707" s="1823"/>
      <c r="AH707" s="1823"/>
      <c r="AI707" s="1823"/>
      <c r="AJ707" s="1823"/>
      <c r="AK707" s="1824"/>
      <c r="AL707" s="778"/>
      <c r="AM707" s="4"/>
    </row>
    <row r="708" spans="1:39">
      <c r="A708" s="623"/>
      <c r="B708" s="615"/>
      <c r="C708" s="615"/>
      <c r="D708" s="306" t="s">
        <v>2218</v>
      </c>
      <c r="E708" s="1719" t="s">
        <v>269</v>
      </c>
      <c r="F708" s="1719"/>
      <c r="G708" s="1719"/>
      <c r="H708" s="1719"/>
      <c r="I708" s="1719"/>
      <c r="J708" s="1719"/>
      <c r="K708" s="1719"/>
      <c r="L708" s="1719"/>
      <c r="M708" s="1719"/>
      <c r="N708" s="1719"/>
      <c r="O708" s="1719"/>
      <c r="P708" s="1719"/>
      <c r="Q708" s="1719"/>
      <c r="R708" s="1719"/>
      <c r="S708" s="1720"/>
      <c r="T708" s="1713">
        <f>IF(AJ617&gt;0,2,0)</f>
        <v>2</v>
      </c>
      <c r="U708" s="1714"/>
      <c r="V708" s="1714"/>
      <c r="W708" s="1714"/>
      <c r="X708" s="1714"/>
      <c r="Y708" s="1715"/>
      <c r="Z708" s="1068">
        <v>2</v>
      </c>
      <c r="AA708" s="1069"/>
      <c r="AB708" s="1069"/>
      <c r="AC708" s="1069"/>
      <c r="AD708" s="1069"/>
      <c r="AE708" s="1071"/>
      <c r="AF708" s="1838"/>
      <c r="AG708" s="1839"/>
      <c r="AH708" s="1839"/>
      <c r="AI708" s="1839"/>
      <c r="AJ708" s="1839"/>
      <c r="AK708" s="1840"/>
      <c r="AL708" s="778"/>
      <c r="AM708" s="4"/>
    </row>
    <row r="709" spans="1:39">
      <c r="A709" s="619" t="s">
        <v>123</v>
      </c>
      <c r="B709" s="1717" t="s">
        <v>542</v>
      </c>
      <c r="C709" s="1717"/>
      <c r="D709" s="1717"/>
      <c r="E709" s="1717"/>
      <c r="F709" s="1717"/>
      <c r="G709" s="1717"/>
      <c r="H709" s="1717"/>
      <c r="I709" s="1717"/>
      <c r="J709" s="1717"/>
      <c r="K709" s="1717"/>
      <c r="L709" s="1717"/>
      <c r="M709" s="1717"/>
      <c r="N709" s="1717"/>
      <c r="O709" s="1717"/>
      <c r="P709" s="1717"/>
      <c r="Q709" s="1717"/>
      <c r="R709" s="1717"/>
      <c r="S709" s="1718"/>
      <c r="T709" s="1741">
        <f>AK645</f>
        <v>10</v>
      </c>
      <c r="U709" s="1741"/>
      <c r="V709" s="1741"/>
      <c r="W709" s="1741"/>
      <c r="X709" s="1741"/>
      <c r="Y709" s="1741"/>
      <c r="Z709" s="1225">
        <v>10</v>
      </c>
      <c r="AA709" s="1225"/>
      <c r="AB709" s="1225"/>
      <c r="AC709" s="1225"/>
      <c r="AD709" s="1225"/>
      <c r="AE709" s="1225"/>
      <c r="AF709" s="1422">
        <f>IF(T709&gt;Z709,Z709,T709)</f>
        <v>10</v>
      </c>
      <c r="AG709" s="1423"/>
      <c r="AH709" s="1423"/>
      <c r="AI709" s="1423"/>
      <c r="AJ709" s="1423"/>
      <c r="AK709" s="1424"/>
      <c r="AL709" s="778"/>
      <c r="AM709" s="20"/>
    </row>
    <row r="710" spans="1:39">
      <c r="A710" s="619" t="s">
        <v>125</v>
      </c>
      <c r="B710" s="1717" t="s">
        <v>985</v>
      </c>
      <c r="C710" s="1717"/>
      <c r="D710" s="1717"/>
      <c r="E710" s="1717"/>
      <c r="F710" s="1717"/>
      <c r="G710" s="1717"/>
      <c r="H710" s="1717"/>
      <c r="I710" s="1717"/>
      <c r="J710" s="1717"/>
      <c r="K710" s="1717"/>
      <c r="L710" s="1717"/>
      <c r="M710" s="1717"/>
      <c r="N710" s="1717"/>
      <c r="O710" s="1717"/>
      <c r="P710" s="1717"/>
      <c r="Q710" s="1717"/>
      <c r="R710" s="1717"/>
      <c r="S710" s="1718"/>
      <c r="T710" s="1819">
        <f>IF(AK688&gt;2,2,AK688)</f>
        <v>2</v>
      </c>
      <c r="U710" s="1820"/>
      <c r="V710" s="1820"/>
      <c r="W710" s="1820"/>
      <c r="X710" s="1820"/>
      <c r="Y710" s="1821"/>
      <c r="Z710" s="1422">
        <v>2</v>
      </c>
      <c r="AA710" s="1423"/>
      <c r="AB710" s="1423"/>
      <c r="AC710" s="1423"/>
      <c r="AD710" s="1423"/>
      <c r="AE710" s="1424"/>
      <c r="AF710" s="1422">
        <f>IF(T710&gt;Z710,Z710,T710)</f>
        <v>2</v>
      </c>
      <c r="AG710" s="1836"/>
      <c r="AH710" s="1836"/>
      <c r="AI710" s="1836"/>
      <c r="AJ710" s="1836"/>
      <c r="AK710" s="1837"/>
      <c r="AL710" s="3"/>
      <c r="AM710" s="20"/>
    </row>
    <row r="711" spans="1:39">
      <c r="A711" s="1716" t="s">
        <v>297</v>
      </c>
      <c r="B711" s="1717"/>
      <c r="C711" s="1717"/>
      <c r="D711" s="1717"/>
      <c r="E711" s="1717"/>
      <c r="F711" s="1717"/>
      <c r="G711" s="1717"/>
      <c r="H711" s="1717"/>
      <c r="I711" s="1717"/>
      <c r="J711" s="1717"/>
      <c r="K711" s="1717"/>
      <c r="L711" s="1717"/>
      <c r="M711" s="1717"/>
      <c r="N711" s="1717"/>
      <c r="O711" s="1717"/>
      <c r="P711" s="1717"/>
      <c r="Q711" s="1717"/>
      <c r="R711" s="1717"/>
      <c r="S711" s="1718"/>
      <c r="T711" s="1466"/>
      <c r="U711" s="1466"/>
      <c r="V711" s="1466"/>
      <c r="W711" s="1466"/>
      <c r="X711" s="1466"/>
      <c r="Y711" s="1466"/>
      <c r="Z711" s="1745" t="s">
        <v>296</v>
      </c>
      <c r="AA711" s="1745"/>
      <c r="AB711" s="1745"/>
      <c r="AC711" s="1745"/>
      <c r="AD711" s="1745"/>
      <c r="AE711" s="1745"/>
      <c r="AF711" s="1422">
        <f>IF(T711&gt;0,T711,0)</f>
        <v>0</v>
      </c>
      <c r="AG711" s="1423"/>
      <c r="AH711" s="1423"/>
      <c r="AI711" s="1423"/>
      <c r="AJ711" s="1423"/>
      <c r="AK711" s="1424"/>
      <c r="AL711" s="18"/>
      <c r="AM711" s="20"/>
    </row>
    <row r="712" spans="1:39" ht="15.6">
      <c r="A712" s="1728" t="s">
        <v>721</v>
      </c>
      <c r="B712" s="1729"/>
      <c r="C712" s="1729"/>
      <c r="D712" s="1729"/>
      <c r="E712" s="1729"/>
      <c r="F712" s="1729"/>
      <c r="G712" s="1729"/>
      <c r="H712" s="1729"/>
      <c r="I712" s="1729"/>
      <c r="J712" s="1729"/>
      <c r="K712" s="1729"/>
      <c r="L712" s="1729"/>
      <c r="M712" s="1729"/>
      <c r="N712" s="1729"/>
      <c r="O712" s="1729"/>
      <c r="P712" s="1729"/>
      <c r="Q712" s="1729"/>
      <c r="R712" s="1729"/>
      <c r="S712" s="1729"/>
      <c r="T712" s="1729"/>
      <c r="U712" s="1729"/>
      <c r="V712" s="1729"/>
      <c r="W712" s="1729"/>
      <c r="X712" s="1729"/>
      <c r="Y712" s="1729"/>
      <c r="Z712" s="1729"/>
      <c r="AA712" s="1729"/>
      <c r="AB712" s="1729"/>
      <c r="AC712" s="1729"/>
      <c r="AD712" s="1729"/>
      <c r="AE712" s="1730"/>
      <c r="AF712" s="1828">
        <f>SUM(AF698:AK710)-AF711</f>
        <v>109</v>
      </c>
      <c r="AG712" s="1829"/>
      <c r="AH712" s="1829"/>
      <c r="AI712" s="1829"/>
      <c r="AJ712" s="1829"/>
      <c r="AK712" s="1830"/>
      <c r="AL712" s="779"/>
      <c r="AM712" s="4"/>
    </row>
    <row r="713" spans="1:39" ht="12.45" customHeight="1">
      <c r="A713" s="1731"/>
      <c r="B713" s="1732"/>
      <c r="C713" s="1732"/>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c r="AA713" s="1732"/>
      <c r="AB713" s="1732"/>
      <c r="AC713" s="1732"/>
      <c r="AD713" s="1732"/>
      <c r="AE713" s="1733"/>
      <c r="AF713" s="1831"/>
      <c r="AG713" s="1832"/>
      <c r="AH713" s="1832"/>
      <c r="AI713" s="1832"/>
      <c r="AJ713" s="1832"/>
      <c r="AK713" s="1833"/>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3"/>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3"/>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3"/>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3"/>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3"/>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3"/>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5" customWidth="1"/>
    <col min="11" max="11" width="2.5546875" style="896" customWidth="1"/>
    <col min="12" max="43" width="2.5546875" style="895" customWidth="1"/>
    <col min="44" max="47" width="2.5546875" style="895" hidden="1" customWidth="1"/>
    <col min="48" max="16384" width="9.109375" style="895" hidden="1"/>
  </cols>
  <sheetData>
    <row r="1" spans="1:57" ht="15" customHeight="1">
      <c r="A1" s="1902" t="s">
        <v>2034</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897"/>
      <c r="B3" s="897"/>
      <c r="I3" s="898"/>
      <c r="K3" s="899"/>
    </row>
    <row r="4" spans="1:57" ht="14.25" customHeight="1">
      <c r="A4" s="1901" t="s">
        <v>2035</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7"/>
      <c r="B5" s="897"/>
      <c r="I5" s="898"/>
      <c r="K5" s="899"/>
    </row>
    <row r="6" spans="1:57">
      <c r="A6" s="897"/>
      <c r="B6" s="897"/>
      <c r="D6" s="895" t="s">
        <v>2038</v>
      </c>
      <c r="I6" s="898"/>
      <c r="K6" s="899"/>
      <c r="U6" s="1900"/>
      <c r="V6" s="1900"/>
      <c r="W6" s="1900"/>
      <c r="BC6" s="895" t="s">
        <v>2036</v>
      </c>
    </row>
    <row r="7" spans="1:57">
      <c r="A7" s="897"/>
      <c r="B7" s="897"/>
      <c r="D7" s="501" t="s">
        <v>2039</v>
      </c>
      <c r="I7" s="898"/>
      <c r="K7" s="899"/>
      <c r="BC7" s="895" t="s">
        <v>2037</v>
      </c>
    </row>
    <row r="8" spans="1:57">
      <c r="A8" s="897"/>
      <c r="B8" s="897"/>
      <c r="D8" s="501"/>
      <c r="E8" s="895" t="s">
        <v>2051</v>
      </c>
      <c r="BC8" s="895" t="s">
        <v>2040</v>
      </c>
    </row>
    <row r="9" spans="1:57">
      <c r="A9" s="897"/>
      <c r="B9" s="897"/>
      <c r="E9" s="895" t="s">
        <v>2050</v>
      </c>
      <c r="I9" s="898"/>
      <c r="K9" s="899"/>
      <c r="P9" s="1908"/>
      <c r="Q9" s="1908"/>
      <c r="R9" s="1908"/>
      <c r="S9" s="1908"/>
      <c r="T9" s="1908"/>
    </row>
    <row r="10" spans="1:57">
      <c r="A10" s="897"/>
      <c r="B10" s="897"/>
      <c r="I10" s="898"/>
      <c r="K10" s="899"/>
    </row>
    <row r="11" spans="1:57">
      <c r="A11" s="1901" t="s">
        <v>2041</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5" t="s">
        <v>108</v>
      </c>
    </row>
    <row r="12" spans="1:57">
      <c r="A12" s="897"/>
      <c r="B12" s="897"/>
      <c r="I12" s="898"/>
      <c r="K12" s="899"/>
      <c r="BC12" s="895" t="s">
        <v>482</v>
      </c>
    </row>
    <row r="13" spans="1:57">
      <c r="A13" s="897"/>
      <c r="B13" s="897"/>
      <c r="D13" s="895" t="s">
        <v>2042</v>
      </c>
      <c r="I13" s="898"/>
      <c r="K13" s="899"/>
      <c r="T13" s="1900"/>
      <c r="U13" s="1900"/>
      <c r="V13" s="1900"/>
    </row>
    <row r="14" spans="1:57">
      <c r="A14" s="897"/>
      <c r="B14" s="897"/>
      <c r="E14" s="895" t="s">
        <v>2049</v>
      </c>
      <c r="I14" s="898"/>
      <c r="K14" s="899"/>
      <c r="N14" s="1906"/>
      <c r="O14" s="1906"/>
      <c r="P14" s="1906"/>
      <c r="Q14" s="1906"/>
      <c r="R14" s="1906"/>
      <c r="S14" s="1906"/>
      <c r="T14" s="1906"/>
      <c r="U14" s="1906"/>
      <c r="V14" s="1906"/>
      <c r="W14" s="1906"/>
      <c r="X14" s="1906"/>
      <c r="Y14" s="1906"/>
      <c r="Z14" s="1906"/>
      <c r="AA14" s="1906"/>
      <c r="AB14" s="1906"/>
      <c r="AC14" s="1906"/>
      <c r="AD14" s="1906"/>
      <c r="AE14" s="1906"/>
    </row>
    <row r="15" spans="1:57">
      <c r="A15" s="897"/>
      <c r="B15" s="897"/>
      <c r="E15" s="895" t="s">
        <v>2043</v>
      </c>
      <c r="I15" s="898"/>
      <c r="K15" s="899"/>
      <c r="N15" s="916"/>
      <c r="O15" s="916"/>
      <c r="P15" s="916"/>
      <c r="Q15" s="916"/>
      <c r="R15" s="916"/>
      <c r="S15" s="916"/>
      <c r="T15" s="916"/>
      <c r="U15" s="916"/>
      <c r="V15" s="916"/>
      <c r="W15" s="916"/>
      <c r="X15" s="916"/>
      <c r="Y15" s="916"/>
      <c r="Z15" s="916"/>
      <c r="AA15" s="916"/>
      <c r="AB15" s="916"/>
      <c r="AC15" s="916"/>
      <c r="AD15" s="916"/>
      <c r="AE15" s="916"/>
      <c r="BC15" s="895" t="s">
        <v>2052</v>
      </c>
      <c r="BE15" s="895">
        <f>'Basis &amp; Credits'!AB55</f>
        <v>2500000</v>
      </c>
    </row>
    <row r="16" spans="1:57">
      <c r="A16" s="897"/>
      <c r="B16" s="897"/>
      <c r="BC16" s="895" t="s">
        <v>2053</v>
      </c>
      <c r="BE16" s="895">
        <f>'Basis &amp; Credits'!T11+'Basis &amp; Credits'!AD11</f>
        <v>38228848.879999995</v>
      </c>
    </row>
    <row r="17" spans="1:43">
      <c r="A17" s="897"/>
      <c r="B17" s="897"/>
      <c r="D17" s="895" t="s">
        <v>2044</v>
      </c>
      <c r="I17" s="898"/>
      <c r="K17" s="899"/>
      <c r="U17" s="1907" t="str">
        <f>IF(T13="yes",(BE15/BE16)," ")</f>
        <v xml:space="preserve"> </v>
      </c>
      <c r="V17" s="1907"/>
      <c r="W17" s="1907"/>
      <c r="X17" s="1907"/>
      <c r="Y17" s="1907"/>
    </row>
    <row r="18" spans="1:43">
      <c r="A18" s="897"/>
      <c r="B18" s="897"/>
      <c r="I18" s="898"/>
      <c r="K18" s="899"/>
    </row>
    <row r="19" spans="1:43">
      <c r="A19" s="1901" t="s">
        <v>2046</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7"/>
      <c r="D20" s="897"/>
      <c r="K20" s="898"/>
      <c r="M20" s="899"/>
    </row>
    <row r="21" spans="1:43">
      <c r="C21" s="897"/>
      <c r="D21" s="897"/>
      <c r="K21" s="898"/>
      <c r="M21" s="899"/>
    </row>
    <row r="22" spans="1:43">
      <c r="C22" s="900" t="s">
        <v>728</v>
      </c>
      <c r="D22" s="900"/>
      <c r="E22" s="895" t="s">
        <v>2047</v>
      </c>
      <c r="H22" s="901"/>
      <c r="K22" s="895"/>
      <c r="Q22" s="1909">
        <f>ROUND('Basis &amp; Credits'!AB55,0)</f>
        <v>2500000</v>
      </c>
      <c r="R22" s="1909"/>
      <c r="S22" s="1909"/>
      <c r="T22" s="1909"/>
      <c r="U22" s="1909"/>
      <c r="V22" s="1909"/>
      <c r="W22" s="1909"/>
      <c r="X22" s="1909"/>
      <c r="Y22" s="915"/>
    </row>
    <row r="23" spans="1:43">
      <c r="C23" s="897"/>
      <c r="D23" s="897"/>
      <c r="G23" s="902"/>
      <c r="H23" s="902"/>
      <c r="I23" s="903"/>
      <c r="J23" s="903"/>
      <c r="K23" s="902"/>
      <c r="M23" s="896"/>
    </row>
    <row r="24" spans="1:43">
      <c r="C24" s="904"/>
      <c r="D24" s="904"/>
      <c r="E24" s="905"/>
      <c r="J24" s="903"/>
      <c r="K24" s="895"/>
      <c r="L24" s="1912" t="s">
        <v>2024</v>
      </c>
      <c r="M24" s="1912"/>
      <c r="N24" s="1912"/>
      <c r="P24" s="1897" t="s">
        <v>2025</v>
      </c>
      <c r="Q24" s="1897"/>
      <c r="R24" s="1897"/>
      <c r="S24" s="1897"/>
      <c r="T24" s="1897"/>
      <c r="V24" s="1897" t="s">
        <v>2026</v>
      </c>
      <c r="W24" s="1897"/>
      <c r="X24" s="1897"/>
    </row>
    <row r="25" spans="1:43">
      <c r="C25" s="900" t="s">
        <v>190</v>
      </c>
      <c r="D25" s="900"/>
      <c r="E25" s="895" t="s">
        <v>986</v>
      </c>
      <c r="J25" s="903"/>
      <c r="L25" s="1898" t="s">
        <v>2027</v>
      </c>
      <c r="M25" s="1898"/>
      <c r="N25" s="1898"/>
      <c r="P25" s="1898" t="s">
        <v>2028</v>
      </c>
      <c r="Q25" s="1898"/>
      <c r="R25" s="1898"/>
      <c r="S25" s="1898"/>
      <c r="T25" s="1898"/>
      <c r="V25" s="1898" t="s">
        <v>2027</v>
      </c>
      <c r="W25" s="1898"/>
      <c r="X25" s="1898"/>
    </row>
    <row r="26" spans="1:43">
      <c r="C26" s="897"/>
      <c r="D26" s="897"/>
      <c r="E26" s="906" t="s">
        <v>2029</v>
      </c>
      <c r="F26" s="906"/>
      <c r="J26" s="907"/>
      <c r="L26" s="1910">
        <f>Application!BN626</f>
        <v>0</v>
      </c>
      <c r="M26" s="1910"/>
      <c r="N26" s="1910"/>
      <c r="P26" s="1899">
        <v>0.9</v>
      </c>
      <c r="Q26" s="1899"/>
      <c r="R26" s="1899"/>
      <c r="S26" s="1899"/>
      <c r="T26" s="1899"/>
      <c r="V26" s="1899">
        <f>L26*P26</f>
        <v>0</v>
      </c>
      <c r="W26" s="1899"/>
      <c r="X26" s="1899"/>
    </row>
    <row r="27" spans="1:43">
      <c r="C27" s="897"/>
      <c r="D27" s="897"/>
      <c r="E27" s="895" t="s">
        <v>2030</v>
      </c>
      <c r="J27" s="907"/>
      <c r="L27" s="1890">
        <f>Application!BS626</f>
        <v>24</v>
      </c>
      <c r="M27" s="1890">
        <f>Application!BS634+Application!BS643+Application!CX657</f>
        <v>0</v>
      </c>
      <c r="N27" s="1890"/>
      <c r="P27" s="1895">
        <v>1</v>
      </c>
      <c r="Q27" s="1895"/>
      <c r="R27" s="1895"/>
      <c r="S27" s="1895"/>
      <c r="T27" s="1895"/>
      <c r="V27" s="1895">
        <f>L27*P27</f>
        <v>24</v>
      </c>
      <c r="W27" s="1895"/>
      <c r="X27" s="1895"/>
    </row>
    <row r="28" spans="1:43">
      <c r="C28" s="897"/>
      <c r="D28" s="897"/>
      <c r="E28" s="895" t="s">
        <v>2031</v>
      </c>
      <c r="J28" s="907"/>
      <c r="L28" s="1890">
        <f>Application!BX626</f>
        <v>29</v>
      </c>
      <c r="M28" s="1890">
        <f>Application!BX634+Application!BX643+Application!DC657</f>
        <v>0</v>
      </c>
      <c r="N28" s="1890"/>
      <c r="P28" s="1895">
        <v>1.25</v>
      </c>
      <c r="Q28" s="1895"/>
      <c r="R28" s="1895"/>
      <c r="S28" s="1895"/>
      <c r="T28" s="1895"/>
      <c r="V28" s="1895">
        <f>L28*P28</f>
        <v>36.25</v>
      </c>
      <c r="W28" s="1895"/>
      <c r="X28" s="1895"/>
    </row>
    <row r="29" spans="1:43">
      <c r="C29" s="897"/>
      <c r="D29" s="897"/>
      <c r="E29" s="895" t="s">
        <v>2032</v>
      </c>
      <c r="J29" s="907"/>
      <c r="L29" s="1890">
        <f>Application!CC626</f>
        <v>18</v>
      </c>
      <c r="M29" s="1890">
        <f>Application!CC634+Application!CC643+Application!DH657</f>
        <v>0</v>
      </c>
      <c r="N29" s="1890"/>
      <c r="P29" s="1895">
        <v>1.5</v>
      </c>
      <c r="Q29" s="1895"/>
      <c r="R29" s="1895"/>
      <c r="S29" s="1895"/>
      <c r="T29" s="1895"/>
      <c r="V29" s="1895">
        <f>L29*P29</f>
        <v>27</v>
      </c>
      <c r="W29" s="1895"/>
      <c r="X29" s="1895"/>
    </row>
    <row r="30" spans="1:43">
      <c r="C30" s="897"/>
      <c r="D30" s="897"/>
      <c r="E30" s="895" t="s">
        <v>2033</v>
      </c>
      <c r="J30" s="907"/>
      <c r="L30" s="1891">
        <f>Application!CH626+Application!CM626</f>
        <v>0</v>
      </c>
      <c r="M30" s="1891"/>
      <c r="N30" s="1891"/>
      <c r="P30" s="1895">
        <v>1.75</v>
      </c>
      <c r="Q30" s="1895"/>
      <c r="R30" s="1895">
        <f>1.75+0.25*0</f>
        <v>1.75</v>
      </c>
      <c r="S30" s="1895"/>
      <c r="T30" s="1895"/>
      <c r="V30" s="1896">
        <f>L30*P30</f>
        <v>0</v>
      </c>
      <c r="W30" s="1896"/>
      <c r="X30" s="1896"/>
    </row>
    <row r="31" spans="1:43">
      <c r="C31" s="897"/>
      <c r="D31" s="897"/>
      <c r="L31" s="1910">
        <f>SUM(L26:N30)</f>
        <v>71</v>
      </c>
      <c r="M31" s="1911"/>
      <c r="N31" s="1911"/>
      <c r="V31" s="1899">
        <f>SUM(V26:X30)</f>
        <v>87.25</v>
      </c>
      <c r="W31" s="1899"/>
      <c r="X31" s="1899"/>
    </row>
    <row r="32" spans="1:43">
      <c r="C32" s="897"/>
      <c r="D32" s="897"/>
      <c r="K32" s="908"/>
    </row>
    <row r="33" spans="1:27">
      <c r="C33" s="900" t="s">
        <v>191</v>
      </c>
      <c r="D33" s="900"/>
      <c r="E33" s="897" t="s">
        <v>2048</v>
      </c>
      <c r="H33" s="909"/>
      <c r="I33" s="910"/>
      <c r="J33" s="911"/>
      <c r="K33" s="908"/>
      <c r="M33" s="896"/>
      <c r="V33" s="1892">
        <f>IF(V31&gt;0,V31/Q22," ")</f>
        <v>3.4900000000000001E-5</v>
      </c>
      <c r="W33" s="1893"/>
      <c r="X33" s="1893"/>
      <c r="Y33" s="1893"/>
      <c r="Z33" s="1893"/>
      <c r="AA33" s="1894"/>
    </row>
    <row r="34" spans="1:27">
      <c r="K34" s="895"/>
      <c r="M34" s="896"/>
    </row>
    <row r="35" spans="1:27">
      <c r="E35" s="897" t="s">
        <v>2054</v>
      </c>
      <c r="F35" s="897"/>
      <c r="G35" s="897"/>
      <c r="H35" s="897"/>
      <c r="I35" s="897"/>
      <c r="J35" s="897"/>
      <c r="K35" s="897"/>
      <c r="L35" s="897"/>
      <c r="M35" s="917"/>
      <c r="N35" s="897"/>
      <c r="O35" s="897"/>
      <c r="P35" s="897"/>
      <c r="Q35" s="897"/>
      <c r="R35" s="897"/>
      <c r="V35" s="1903">
        <f>IF(V31&gt;0,1/V33," ")</f>
        <v>28653.295128939826</v>
      </c>
      <c r="W35" s="1904"/>
      <c r="X35" s="1904"/>
      <c r="Y35" s="1904"/>
      <c r="Z35" s="1904"/>
      <c r="AA35" s="1905"/>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2024-06-04T21:27:30Z</cp:lastPrinted>
  <dcterms:created xsi:type="dcterms:W3CDTF">2007-12-27T18:26:28Z</dcterms:created>
  <dcterms:modified xsi:type="dcterms:W3CDTF">2024-07-03T20:45:19Z</dcterms:modified>
</cp:coreProperties>
</file>