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S:\525 Water Street - Santa Cruz - Zen Development\3.3 CDLAC\Ready For Review\Reviewed\"/>
    </mc:Choice>
  </mc:AlternateContent>
  <xr:revisionPtr revIDLastSave="0" documentId="13_ncr:1_{8BC39641-06D6-422A-BE92-182629D41D2C}" xr6:coauthVersionLast="47" xr6:coauthVersionMax="47" xr10:uidLastSave="{00000000-0000-0000-0000-000000000000}"/>
  <bookViews>
    <workbookView xWindow="57480" yWindow="-120" windowWidth="29040" windowHeight="15720" tabRatio="839"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1" i="3" l="1"/>
  <c r="W869" i="3" l="1"/>
  <c r="AC888" i="3"/>
  <c r="C45" i="4"/>
  <c r="F29" i="4"/>
  <c r="E93" i="4" l="1"/>
  <c r="E92" i="4"/>
  <c r="E91" i="4"/>
  <c r="E90" i="4"/>
  <c r="E89" i="4"/>
  <c r="E88" i="4"/>
  <c r="E86" i="4"/>
  <c r="E83" i="4"/>
  <c r="E80" i="4"/>
  <c r="E76" i="4"/>
  <c r="E75" i="4"/>
  <c r="E73" i="4"/>
  <c r="E66" i="4"/>
  <c r="E65" i="4"/>
  <c r="E58" i="4"/>
  <c r="E50" i="4"/>
  <c r="E49" i="4"/>
  <c r="E48" i="4"/>
  <c r="E46" i="4"/>
  <c r="E36" i="4"/>
  <c r="E35" i="4"/>
  <c r="E4" i="4"/>
  <c r="E45" i="4"/>
  <c r="W843" i="3" l="1"/>
  <c r="W849" i="3"/>
  <c r="AC889" i="3"/>
  <c r="W857" i="3"/>
  <c r="AD199" i="20" l="1"/>
  <c r="B199" i="20"/>
  <c r="W473" i="3" l="1"/>
  <c r="A41" i="7" l="1"/>
  <c r="AB72" i="15"/>
  <c r="S45" i="4"/>
  <c r="S86" i="4"/>
  <c r="C52" i="4"/>
  <c r="E52" i="4" s="1"/>
  <c r="C56" i="4"/>
  <c r="E56" i="4" s="1"/>
  <c r="S65" i="4"/>
  <c r="S80" i="4"/>
  <c r="C51" i="4"/>
  <c r="E51" i="4" s="1"/>
  <c r="C43" i="4"/>
  <c r="C40" i="4"/>
  <c r="C85" i="4"/>
  <c r="C30" i="4"/>
  <c r="C79" i="4"/>
  <c r="E79" i="4" s="1"/>
  <c r="C32" i="4"/>
  <c r="C33" i="4" l="1"/>
  <c r="E33" i="4" s="1"/>
  <c r="E32" i="4"/>
  <c r="S40" i="4"/>
  <c r="E40" i="4"/>
  <c r="S43" i="4"/>
  <c r="E43" i="4"/>
  <c r="AF1027" i="3"/>
  <c r="E85" i="4"/>
  <c r="C41" i="4"/>
  <c r="E41" i="4" s="1"/>
  <c r="AC891" i="3"/>
  <c r="W861" i="3"/>
  <c r="W859" i="3"/>
  <c r="AM557" i="3"/>
  <c r="AM555" i="3"/>
  <c r="T190" i="3"/>
  <c r="S41" i="4" l="1"/>
  <c r="AC886" i="3"/>
  <c r="AF628" i="3"/>
  <c r="E41" i="7" s="1"/>
  <c r="Q627" i="3"/>
  <c r="T627" i="3"/>
  <c r="AF627" i="3" s="1"/>
  <c r="Q628" i="3"/>
  <c r="Q556" i="3"/>
  <c r="AA918" i="3"/>
  <c r="M961" i="3"/>
  <c r="M958" i="3"/>
  <c r="AE958" i="3"/>
  <c r="AA919" i="3" l="1"/>
  <c r="S52" i="4" l="1"/>
  <c r="S79"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T49" i="21" s="1"/>
  <c r="N49" i="21"/>
  <c r="L50" i="21"/>
  <c r="M50" i="21"/>
  <c r="T50" i="21" s="1"/>
  <c r="N50" i="21"/>
  <c r="L51" i="21"/>
  <c r="M51" i="21"/>
  <c r="T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AY1024" i="3" l="1"/>
  <c r="T47" i="21"/>
  <c r="U51" i="21"/>
  <c r="O51" i="21"/>
  <c r="U53" i="21"/>
  <c r="S52" i="21"/>
  <c r="U46" i="21"/>
  <c r="T53" i="21"/>
  <c r="R53" i="21" a="1"/>
  <c r="R53" i="21" s="1"/>
  <c r="S51" i="21"/>
  <c r="R51" i="21" a="1"/>
  <c r="R51" i="21" s="1"/>
  <c r="P51" i="21" a="1"/>
  <c r="P51" i="21" s="1"/>
  <c r="P52" i="21" a="1"/>
  <c r="P52" i="21" s="1"/>
  <c r="S49" i="21"/>
  <c r="R49" i="21" a="1"/>
  <c r="R49" i="21" s="1"/>
  <c r="U49" i="21"/>
  <c r="P49" i="21" a="1"/>
  <c r="P49" i="21" s="1"/>
  <c r="O49" i="21"/>
  <c r="O50" i="21"/>
  <c r="P48" i="21" a="1"/>
  <c r="P48" i="21" s="1"/>
  <c r="S47" i="21"/>
  <c r="R47" i="21" a="1"/>
  <c r="R47" i="21" s="1"/>
  <c r="U48" i="21"/>
  <c r="T48" i="21"/>
  <c r="U50" i="21"/>
  <c r="S48" i="21"/>
  <c r="P50" i="21" a="1"/>
  <c r="P50" i="21" s="1"/>
  <c r="R48" i="21" a="1"/>
  <c r="R48" i="21" s="1"/>
  <c r="T46" i="21"/>
  <c r="S50" i="21"/>
  <c r="S46" i="21"/>
  <c r="U45" i="21"/>
  <c r="T45" i="21"/>
  <c r="S45" i="21"/>
  <c r="U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5" i="8"/>
  <c r="I15" i="8"/>
  <c r="J14" i="8"/>
  <c r="I14" i="8"/>
  <c r="J13" i="8"/>
  <c r="I13" i="8"/>
  <c r="J11" i="8"/>
  <c r="I11"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CZ723" i="3"/>
  <c r="CZ724" i="3"/>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DE727" i="3"/>
  <c r="DE728" i="3"/>
  <c r="DE729" i="3"/>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DJ731" i="3"/>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B5" i="8"/>
  <c r="B6" i="8"/>
  <c r="B10" i="8"/>
  <c r="E88" i="21"/>
  <c r="E79" i="21"/>
  <c r="B35" i="21"/>
  <c r="B20" i="21"/>
  <c r="B7" i="8"/>
  <c r="AK285" i="20"/>
  <c r="T814" i="20" s="1"/>
  <c r="AF814" i="20" s="1"/>
  <c r="BE78" i="3" s="1"/>
  <c r="B24" i="4"/>
  <c r="R36" i="4"/>
  <c r="B36" i="4"/>
  <c r="S36" i="4" s="1"/>
  <c r="E36" i="13" s="1"/>
  <c r="B66" i="4"/>
  <c r="S66" i="4" s="1"/>
  <c r="E66" i="13" s="1"/>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7" i="13"/>
  <c r="E68" i="13"/>
  <c r="E69" i="13"/>
  <c r="B66" i="13"/>
  <c r="B67" i="13"/>
  <c r="B68" i="13"/>
  <c r="B69" i="13"/>
  <c r="A53" i="13"/>
  <c r="H36" i="13"/>
  <c r="B36" i="13"/>
  <c r="H24" i="13"/>
  <c r="E24" i="13"/>
  <c r="B24" i="13"/>
  <c r="C104" i="4"/>
  <c r="B104" i="13" s="1"/>
  <c r="B99" i="4"/>
  <c r="S99" i="4" s="1"/>
  <c r="S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G11" i="8" s="1"/>
  <c r="B12" i="8"/>
  <c r="B13" i="8"/>
  <c r="G13" i="8" s="1"/>
  <c r="B14" i="8"/>
  <c r="G14" i="8" s="1"/>
  <c r="B15" i="8"/>
  <c r="G15" i="8" s="1"/>
  <c r="B16" i="8"/>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87" i="13"/>
  <c r="E86" i="13"/>
  <c r="E85" i="13"/>
  <c r="E84" i="13"/>
  <c r="E79" i="13"/>
  <c r="E65" i="13"/>
  <c r="E53" i="13"/>
  <c r="E52" i="13"/>
  <c r="E50" i="13"/>
  <c r="E49" i="13"/>
  <c r="E47" i="13"/>
  <c r="E46" i="13"/>
  <c r="E45" i="13"/>
  <c r="E43"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A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42" i="4"/>
  <c r="E42"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S29" i="4" s="1"/>
  <c r="E29" i="13" s="1"/>
  <c r="B30" i="4"/>
  <c r="S30" i="4" s="1"/>
  <c r="E30" i="13" s="1"/>
  <c r="B31" i="4"/>
  <c r="S31" i="4" s="1"/>
  <c r="E31" i="13" s="1"/>
  <c r="B32" i="4"/>
  <c r="S32" i="4" s="1"/>
  <c r="E32" i="13" s="1"/>
  <c r="B33" i="4"/>
  <c r="S33" i="4" s="1"/>
  <c r="E33" i="13" s="1"/>
  <c r="B34" i="4"/>
  <c r="B35" i="4"/>
  <c r="S35" i="4" s="1"/>
  <c r="E35" i="13" s="1"/>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S48" i="4" s="1"/>
  <c r="E48" i="13" s="1"/>
  <c r="B49" i="4"/>
  <c r="B50" i="4"/>
  <c r="B51" i="4"/>
  <c r="E51" i="13" s="1"/>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S89" i="4" s="1"/>
  <c r="E89" i="13" s="1"/>
  <c r="B90" i="4"/>
  <c r="E90" i="13" s="1"/>
  <c r="B91" i="4"/>
  <c r="B92" i="4"/>
  <c r="B93" i="4"/>
  <c r="B94" i="4"/>
  <c r="B95" i="4"/>
  <c r="E96" i="4"/>
  <c r="F96" i="4"/>
  <c r="G96" i="4"/>
  <c r="H96" i="4"/>
  <c r="I96" i="4"/>
  <c r="K96" i="4"/>
  <c r="L96" i="4"/>
  <c r="Q96" i="4"/>
  <c r="B101" i="4"/>
  <c r="B102" i="4"/>
  <c r="B103" i="4"/>
  <c r="G104" i="4"/>
  <c r="I104" i="4"/>
  <c r="K104" i="4"/>
  <c r="L104" i="4"/>
  <c r="Q104" i="4"/>
  <c r="E108" i="4"/>
  <c r="F108" i="4"/>
  <c r="G108" i="4"/>
  <c r="G30" i="4" s="1"/>
  <c r="F30" i="4" s="1"/>
  <c r="H108" i="4"/>
  <c r="H99"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2" i="3"/>
  <c r="X733" i="3"/>
  <c r="X734" i="3"/>
  <c r="X735" i="3"/>
  <c r="X736" i="3"/>
  <c r="X737" i="3"/>
  <c r="X738" i="3"/>
  <c r="X739" i="3"/>
  <c r="X740" i="3"/>
  <c r="X741" i="3"/>
  <c r="M832" i="3"/>
  <c r="Q832" i="3"/>
  <c r="N225" i="20" s="1"/>
  <c r="U832" i="3"/>
  <c r="Y832" i="3"/>
  <c r="N228" i="20" s="1"/>
  <c r="AC832" i="3"/>
  <c r="N229" i="20" s="1"/>
  <c r="AG832" i="3"/>
  <c r="Z902" i="3"/>
  <c r="F31" i="4" l="1"/>
  <c r="E31" i="4" s="1"/>
  <c r="R31" i="4" s="1"/>
  <c r="T227" i="20"/>
  <c r="N226" i="20"/>
  <c r="N227" i="20"/>
  <c r="F104" i="4"/>
  <c r="E99" i="4"/>
  <c r="E104" i="4" s="1"/>
  <c r="D35" i="11"/>
  <c r="D36" i="11"/>
  <c r="E38" i="4"/>
  <c r="E63" i="4" s="1"/>
  <c r="E97" i="4" s="1"/>
  <c r="E99" i="13"/>
  <c r="S70" i="4"/>
  <c r="E70" i="13" s="1"/>
  <c r="S96" i="4"/>
  <c r="E96" i="13" s="1"/>
  <c r="S54" i="4"/>
  <c r="E54" i="13" s="1"/>
  <c r="S38" i="4"/>
  <c r="E38" i="13" s="1"/>
  <c r="H104" i="4"/>
  <c r="G38" i="4"/>
  <c r="G63" i="4" s="1"/>
  <c r="G97" i="4" s="1"/>
  <c r="G105" i="4" s="1"/>
  <c r="B26" i="4"/>
  <c r="T228" i="20"/>
  <c r="T729" i="3"/>
  <c r="O729" i="3" s="1"/>
  <c r="T728" i="3"/>
  <c r="T726" i="3"/>
  <c r="T727" i="3"/>
  <c r="T721" i="3"/>
  <c r="F7" i="8" s="1"/>
  <c r="G7" i="8" s="1"/>
  <c r="T718" i="3"/>
  <c r="N224" i="20" s="1"/>
  <c r="T224" i="20"/>
  <c r="T225" i="20"/>
  <c r="T720" i="3"/>
  <c r="F6" i="8" s="1"/>
  <c r="U22" i="21" s="1"/>
  <c r="T719" i="3"/>
  <c r="T229" i="20"/>
  <c r="T730" i="3"/>
  <c r="T731" i="3"/>
  <c r="O731" i="3" s="1"/>
  <c r="T725" i="3"/>
  <c r="O725" i="3" s="1"/>
  <c r="T724" i="3"/>
  <c r="F10" i="8" s="1"/>
  <c r="G10" i="8" s="1"/>
  <c r="T723" i="3"/>
  <c r="F9" i="8" s="1"/>
  <c r="T226" i="20"/>
  <c r="T722" i="3"/>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I58" i="7"/>
  <c r="C9" i="11"/>
  <c r="B63" i="11"/>
  <c r="T63" i="4"/>
  <c r="B96" i="4"/>
  <c r="B38" i="4"/>
  <c r="D84" i="11"/>
  <c r="B54" i="13"/>
  <c r="K63" i="4"/>
  <c r="K97" i="4" s="1"/>
  <c r="K105" i="4" s="1"/>
  <c r="E104" i="13"/>
  <c r="CI753" i="3"/>
  <c r="X1048" i="3" s="1"/>
  <c r="BG243" i="3"/>
  <c r="BO245" i="3" s="1"/>
  <c r="T267" i="3" s="1"/>
  <c r="S38" i="21"/>
  <c r="S37" i="21"/>
  <c r="S36" i="21"/>
  <c r="S43" i="21"/>
  <c r="S35" i="21"/>
  <c r="S42" i="21"/>
  <c r="S34" i="21"/>
  <c r="S41" i="21"/>
  <c r="U33" i="21"/>
  <c r="S40" i="21"/>
  <c r="S39" i="21"/>
  <c r="T22" i="21"/>
  <c r="U37" i="21"/>
  <c r="U29" i="21"/>
  <c r="T21" i="21"/>
  <c r="U36" i="21"/>
  <c r="T43" i="21"/>
  <c r="U43" i="21"/>
  <c r="T35" i="21"/>
  <c r="U35" i="21"/>
  <c r="T27" i="21"/>
  <c r="U27" i="21"/>
  <c r="U38" i="21"/>
  <c r="R42" i="21" a="1"/>
  <c r="R42" i="21" s="1"/>
  <c r="U42" i="21"/>
  <c r="T34" i="21"/>
  <c r="U34" i="21"/>
  <c r="R41" i="21" a="1"/>
  <c r="R41" i="21" s="1"/>
  <c r="U41" i="21"/>
  <c r="T25" i="21"/>
  <c r="R30" i="21" a="1"/>
  <c r="R30" i="21" s="1"/>
  <c r="U30" i="21"/>
  <c r="T40" i="21"/>
  <c r="U40" i="21"/>
  <c r="T39" i="21"/>
  <c r="U39" i="21"/>
  <c r="T31" i="21"/>
  <c r="U31" i="21"/>
  <c r="T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O71" i="20"/>
  <c r="AP375" i="20"/>
  <c r="AQ375" i="20" s="1"/>
  <c r="AK535" i="20"/>
  <c r="T813" i="20" s="1"/>
  <c r="AF813" i="20" s="1"/>
  <c r="BF753" i="3"/>
  <c r="CU753" i="3"/>
  <c r="EC648"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R99" i="4" l="1"/>
  <c r="R104" i="4" s="1"/>
  <c r="F38" i="4"/>
  <c r="F63" i="4" s="1"/>
  <c r="F97" i="4" s="1"/>
  <c r="F105" i="4" s="1"/>
  <c r="F12" i="8"/>
  <c r="U28" i="21" s="1"/>
  <c r="O726" i="3"/>
  <c r="G6" i="8"/>
  <c r="U23" i="21"/>
  <c r="O722" i="3"/>
  <c r="FJ722" i="3" s="1"/>
  <c r="EH639" i="3" s="1"/>
  <c r="F8" i="8"/>
  <c r="O718" i="3"/>
  <c r="F4" i="8"/>
  <c r="G9" i="8"/>
  <c r="R30" i="4"/>
  <c r="R38" i="4" s="1"/>
  <c r="R63" i="4" s="1"/>
  <c r="R97" i="4" s="1"/>
  <c r="R105" i="4" s="1"/>
  <c r="O719" i="3"/>
  <c r="FE719" i="3" s="1"/>
  <c r="EC636" i="3" s="1"/>
  <c r="F5" i="8"/>
  <c r="U25" i="21"/>
  <c r="O730" i="3"/>
  <c r="AQ124" i="20" s="1"/>
  <c r="F16" i="8"/>
  <c r="U26" i="21"/>
  <c r="H105" i="4"/>
  <c r="O723" i="3"/>
  <c r="FJ723" i="3" s="1"/>
  <c r="EH640" i="3" s="1"/>
  <c r="O721" i="3"/>
  <c r="FE721" i="3" s="1"/>
  <c r="EC638" i="3" s="1"/>
  <c r="O724" i="3"/>
  <c r="AQ118" i="20" s="1"/>
  <c r="O727" i="3"/>
  <c r="FO727" i="3" s="1"/>
  <c r="EM644" i="3" s="1"/>
  <c r="FO726" i="3"/>
  <c r="EM643" i="3" s="1"/>
  <c r="O728" i="3"/>
  <c r="X728" i="3" s="1"/>
  <c r="AH728" i="3" s="1"/>
  <c r="O720" i="3"/>
  <c r="FE720" i="3" s="1"/>
  <c r="EC637" i="3" s="1"/>
  <c r="AQ125" i="20"/>
  <c r="E105" i="4"/>
  <c r="S63" i="4"/>
  <c r="E63" i="13" s="1"/>
  <c r="AB225" i="20"/>
  <c r="AB229" i="20"/>
  <c r="AB224" i="20"/>
  <c r="AB226" i="20"/>
  <c r="AB227" i="20"/>
  <c r="D15" i="8"/>
  <c r="AQ123" i="20"/>
  <c r="X729" i="3"/>
  <c r="AH729" i="3" s="1"/>
  <c r="AB228" i="20"/>
  <c r="AJ621" i="20"/>
  <c r="AK794" i="20" s="1"/>
  <c r="T819" i="20" s="1"/>
  <c r="AF819" i="20" s="1"/>
  <c r="BE82" i="3" s="1"/>
  <c r="G94" i="21"/>
  <c r="FO729" i="3"/>
  <c r="EM646" i="3" s="1"/>
  <c r="AQ119" i="20"/>
  <c r="D11" i="8"/>
  <c r="X725" i="3"/>
  <c r="AH725" i="3" s="1"/>
  <c r="FJ725" i="3"/>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T739" i="3"/>
  <c r="BU739" i="3" s="1"/>
  <c r="BT748" i="3"/>
  <c r="BU748" i="3" s="1"/>
  <c r="BT734" i="3"/>
  <c r="BU734" i="3" s="1"/>
  <c r="BT750" i="3"/>
  <c r="BU750" i="3" s="1"/>
  <c r="BT722" i="3"/>
  <c r="BT730" i="3"/>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G35" i="7" s="1"/>
  <c r="EC645" i="3"/>
  <c r="EC647" i="3"/>
  <c r="EC653" i="3"/>
  <c r="EC649" i="3"/>
  <c r="DX646" i="3"/>
  <c r="EC650" i="3"/>
  <c r="DU778" i="3"/>
  <c r="EC657" i="3"/>
  <c r="EC656" i="3"/>
  <c r="EC643" i="3"/>
  <c r="EC668" i="3"/>
  <c r="EC669" i="3"/>
  <c r="EC646" i="3"/>
  <c r="EC651" i="3"/>
  <c r="EC640"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51" i="3"/>
  <c r="ER646" i="3"/>
  <c r="ER640" i="3"/>
  <c r="ER652" i="3"/>
  <c r="ER641" i="3"/>
  <c r="ER643" i="3"/>
  <c r="ER644" i="3"/>
  <c r="ER655" i="3"/>
  <c r="ER669" i="3"/>
  <c r="ER653" i="3"/>
  <c r="ER635" i="3"/>
  <c r="ER638" i="3"/>
  <c r="ER657" i="3"/>
  <c r="ER645" i="3"/>
  <c r="ER649" i="3"/>
  <c r="ER637" i="3"/>
  <c r="ER656" i="3"/>
  <c r="ER639" i="3"/>
  <c r="ER654" i="3"/>
  <c r="EM652" i="3"/>
  <c r="AG1049" i="3"/>
  <c r="ER642" i="3"/>
  <c r="CZ802" i="3"/>
  <c r="AB988" i="3" s="1"/>
  <c r="AJ988" i="3" s="1"/>
  <c r="EH643" i="3"/>
  <c r="EH654" i="3"/>
  <c r="EH651" i="3"/>
  <c r="EH635" i="3"/>
  <c r="EH647" i="3"/>
  <c r="EH645" i="3"/>
  <c r="EH649" i="3"/>
  <c r="EH650" i="3"/>
  <c r="EH669" i="3"/>
  <c r="EH638" i="3"/>
  <c r="EH652" i="3"/>
  <c r="EH648" i="3"/>
  <c r="EH636" i="3"/>
  <c r="DD755"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53" i="3"/>
  <c r="EM641" i="3"/>
  <c r="EM654" i="3"/>
  <c r="DI755" i="3"/>
  <c r="EM669" i="3"/>
  <c r="EM637" i="3"/>
  <c r="EM657" i="3"/>
  <c r="EM655" i="3"/>
  <c r="EM668" i="3"/>
  <c r="EM640" i="3"/>
  <c r="EM647" i="3"/>
  <c r="EM639" i="3"/>
  <c r="EM649" i="3"/>
  <c r="EM642" i="3"/>
  <c r="EM656" i="3"/>
  <c r="EM638" i="3"/>
  <c r="EM648" i="3"/>
  <c r="EH637" i="3"/>
  <c r="ET799" i="3"/>
  <c r="EM635" i="3"/>
  <c r="K15" i="7"/>
  <c r="I22" i="7"/>
  <c r="I35" i="7" s="1"/>
  <c r="E29" i="21"/>
  <c r="G24" i="21"/>
  <c r="AQ121" i="20" l="1"/>
  <c r="G12" i="8"/>
  <c r="AQ116" i="20"/>
  <c r="D8" i="8"/>
  <c r="I8" i="8" s="1"/>
  <c r="J8" i="8" s="1"/>
  <c r="D5" i="8"/>
  <c r="I5" i="8" s="1"/>
  <c r="J5" i="8" s="1"/>
  <c r="D16" i="8"/>
  <c r="I16" i="8" s="1"/>
  <c r="J16" i="8" s="1"/>
  <c r="AQ113" i="20"/>
  <c r="X722" i="3"/>
  <c r="AH722" i="3" s="1"/>
  <c r="BU722" i="3" s="1"/>
  <c r="X730" i="3"/>
  <c r="AH730" i="3" s="1"/>
  <c r="BU730" i="3" s="1"/>
  <c r="U20" i="21"/>
  <c r="G4" i="8"/>
  <c r="G16" i="8"/>
  <c r="U32" i="21"/>
  <c r="O32" i="21" s="1"/>
  <c r="P32" i="21" s="1" a="1"/>
  <c r="P32" i="21" s="1"/>
  <c r="S32" i="21" s="1"/>
  <c r="U21" i="21"/>
  <c r="O21" i="21" s="1"/>
  <c r="P21" i="21" s="1" a="1"/>
  <c r="P21" i="21" s="1"/>
  <c r="S21" i="21" s="1"/>
  <c r="G5" i="8"/>
  <c r="X719" i="3"/>
  <c r="AH719" i="3" s="1"/>
  <c r="BU719" i="3" s="1"/>
  <c r="D9" i="8"/>
  <c r="I9" i="8" s="1"/>
  <c r="J9" i="8" s="1"/>
  <c r="FT730" i="3"/>
  <c r="ER647" i="3" s="1"/>
  <c r="G8" i="8"/>
  <c r="U24" i="21"/>
  <c r="O24" i="21" s="1"/>
  <c r="P24" i="21" s="1" a="1"/>
  <c r="P24" i="21" s="1"/>
  <c r="S24" i="21" s="1"/>
  <c r="AQ117" i="20"/>
  <c r="X723" i="3"/>
  <c r="AH723" i="3" s="1"/>
  <c r="BU723" i="3" s="1"/>
  <c r="D13" i="8"/>
  <c r="D7" i="8"/>
  <c r="I7" i="8" s="1"/>
  <c r="J7" i="8" s="1"/>
  <c r="X721" i="3"/>
  <c r="AH721" i="3" s="1"/>
  <c r="BU721" i="3" s="1"/>
  <c r="AQ115" i="20"/>
  <c r="AQ120" i="20"/>
  <c r="X726" i="3"/>
  <c r="AH726" i="3" s="1"/>
  <c r="BU726" i="3" s="1"/>
  <c r="D12" i="8"/>
  <c r="I12" i="8" s="1"/>
  <c r="J12" i="8" s="1"/>
  <c r="FT731" i="3"/>
  <c r="ER648" i="3" s="1"/>
  <c r="AQ114" i="20"/>
  <c r="S97" i="4"/>
  <c r="AZ1046" i="3" s="1"/>
  <c r="X720" i="3"/>
  <c r="AH720" i="3" s="1"/>
  <c r="BU720" i="3" s="1"/>
  <c r="X727" i="3"/>
  <c r="AH727" i="3" s="1"/>
  <c r="BU727" i="3" s="1"/>
  <c r="D6" i="8"/>
  <c r="I6" i="8" s="1"/>
  <c r="J6" i="8" s="1"/>
  <c r="D17" i="8"/>
  <c r="X724" i="3"/>
  <c r="AH724" i="3" s="1"/>
  <c r="BU724" i="3" s="1"/>
  <c r="X731" i="3"/>
  <c r="AH731" i="3" s="1"/>
  <c r="BU731" i="3" s="1"/>
  <c r="D14" i="8"/>
  <c r="FJ724" i="3"/>
  <c r="EH641" i="3" s="1"/>
  <c r="D10" i="8"/>
  <c r="I10" i="8" s="1"/>
  <c r="J10" i="8" s="1"/>
  <c r="AQ122" i="20"/>
  <c r="FO728" i="3"/>
  <c r="EM645" i="3" s="1"/>
  <c r="EM670" i="3" s="1"/>
  <c r="T130" i="20" s="1"/>
  <c r="T133" i="20" s="1"/>
  <c r="T136" i="20" s="1"/>
  <c r="BU728" i="3"/>
  <c r="EH642" i="3"/>
  <c r="AB234" i="20"/>
  <c r="AB250" i="20" s="1"/>
  <c r="AB252" i="20" s="1"/>
  <c r="AB254" i="20" s="1"/>
  <c r="AB260" i="20" s="1"/>
  <c r="AD209" i="20" s="1"/>
  <c r="AD211" i="20" s="1"/>
  <c r="O753" i="3"/>
  <c r="X718" i="3"/>
  <c r="AH718" i="3" s="1"/>
  <c r="BU718" i="3" s="1"/>
  <c r="AQ112" i="20"/>
  <c r="D4" i="8"/>
  <c r="I4" i="8" s="1"/>
  <c r="J4" i="8" s="1"/>
  <c r="FE718" i="3"/>
  <c r="BU725" i="3"/>
  <c r="BU729" i="3"/>
  <c r="O28" i="21"/>
  <c r="P28" i="21" s="1" a="1"/>
  <c r="P28" i="21" s="1"/>
  <c r="S28" i="21" s="1"/>
  <c r="O26" i="21"/>
  <c r="P26" i="21" s="1" a="1"/>
  <c r="P26" i="21" s="1"/>
  <c r="S26" i="21" s="1"/>
  <c r="O25" i="21"/>
  <c r="P25" i="21" s="1" a="1"/>
  <c r="P25" i="21" s="1"/>
  <c r="S25" i="21" s="1"/>
  <c r="O23" i="21"/>
  <c r="P23" i="21" s="1" a="1"/>
  <c r="P23" i="21" s="1"/>
  <c r="S23" i="21" s="1"/>
  <c r="O22" i="21"/>
  <c r="P22" i="21" s="1" a="1"/>
  <c r="P22" i="21" s="1"/>
  <c r="S22" i="21" s="1"/>
  <c r="D64" i="11"/>
  <c r="B105" i="4"/>
  <c r="AB47" i="15" s="1"/>
  <c r="BE101" i="3"/>
  <c r="AK84" i="20"/>
  <c r="AK191" i="20" s="1"/>
  <c r="T811" i="20" s="1"/>
  <c r="AF811" i="20" s="1"/>
  <c r="BE76" i="3" s="1"/>
  <c r="D13" i="11"/>
  <c r="B97" i="13"/>
  <c r="B97" i="4"/>
  <c r="B105" i="13"/>
  <c r="AG269" i="20"/>
  <c r="O58" i="7"/>
  <c r="Q53" i="7"/>
  <c r="T105" i="4"/>
  <c r="H97" i="13"/>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AJ986" i="3"/>
  <c r="AB990" i="3"/>
  <c r="AJ990" i="3" s="1"/>
  <c r="M15" i="7"/>
  <c r="K22" i="7"/>
  <c r="K35" i="7" s="1"/>
  <c r="F27" i="21"/>
  <c r="G61" i="21"/>
  <c r="G63" i="21" s="1"/>
  <c r="G65" i="21" s="1"/>
  <c r="E13" i="21" s="1"/>
  <c r="F28" i="21"/>
  <c r="G28" i="21" s="1"/>
  <c r="G52" i="21"/>
  <c r="G54" i="21" s="1"/>
  <c r="G56" i="21" s="1"/>
  <c r="E12" i="21" s="1"/>
  <c r="ER670" i="3" l="1"/>
  <c r="Y130" i="20" s="1"/>
  <c r="Y133" i="20" s="1"/>
  <c r="Y136" i="20" s="1"/>
  <c r="G40" i="8"/>
  <c r="J40" i="8"/>
  <c r="Z809" i="3" s="1"/>
  <c r="E6" i="7" s="1"/>
  <c r="G42" i="21" a="1"/>
  <c r="G42" i="21" s="1"/>
  <c r="G43" i="21" s="1"/>
  <c r="E97" i="13"/>
  <c r="S105" i="4"/>
  <c r="S107" i="4" s="1"/>
  <c r="AE699" i="3" s="1"/>
  <c r="FT753" i="3"/>
  <c r="EH670" i="3"/>
  <c r="O130" i="20" s="1"/>
  <c r="O133" i="20" s="1"/>
  <c r="O136" i="20" s="1"/>
  <c r="FO753" i="3"/>
  <c r="FJ753" i="3"/>
  <c r="BU753" i="3"/>
  <c r="AH753" i="3" s="1"/>
  <c r="BE43" i="3" s="1"/>
  <c r="T805" i="20"/>
  <c r="AF805" i="20" s="1"/>
  <c r="BE72" i="3" s="1"/>
  <c r="FE753" i="3"/>
  <c r="EC635" i="3"/>
  <c r="EC670" i="3" s="1"/>
  <c r="J130" i="20" s="1"/>
  <c r="J133" i="20" s="1"/>
  <c r="J136" i="20" s="1"/>
  <c r="D40" i="8"/>
  <c r="Y801" i="3"/>
  <c r="Y800" i="3"/>
  <c r="AB266" i="20"/>
  <c r="AG268" i="20" s="1"/>
  <c r="AG270" i="20" s="1"/>
  <c r="AK273" i="20" s="1"/>
  <c r="T812" i="20" s="1"/>
  <c r="AF812" i="20" s="1"/>
  <c r="BE77" i="3" s="1"/>
  <c r="AC454" i="3"/>
  <c r="N185" i="23"/>
  <c r="BE22" i="3"/>
  <c r="AB49" i="15"/>
  <c r="BA1056" i="3"/>
  <c r="AZ1051" i="3"/>
  <c r="H105" i="13"/>
  <c r="T107" i="4"/>
  <c r="H107" i="13" s="1"/>
  <c r="Q58" i="7"/>
  <c r="S53" i="7"/>
  <c r="E11" i="21"/>
  <c r="AP705" i="20"/>
  <c r="AP706" i="20"/>
  <c r="K9" i="7"/>
  <c r="AJ992" i="3"/>
  <c r="AB991" i="3"/>
  <c r="DU802" i="3"/>
  <c r="U373" i="20" s="1"/>
  <c r="P421" i="3"/>
  <c r="M22" i="7"/>
  <c r="M35" i="7" s="1"/>
  <c r="O15" i="7"/>
  <c r="M9" i="7"/>
  <c r="O8" i="7"/>
  <c r="G27" i="21"/>
  <c r="F26" i="21"/>
  <c r="AJ994" i="3" l="1"/>
  <c r="AJ1029" i="3"/>
  <c r="AJ1016" i="3"/>
  <c r="E105" i="13"/>
  <c r="O20" i="21"/>
  <c r="P20" i="21" s="1" a="1"/>
  <c r="P20" i="21" s="1"/>
  <c r="S20" i="21" s="1"/>
  <c r="O33" i="21"/>
  <c r="P33" i="21" s="1" a="1"/>
  <c r="P33" i="21" s="1"/>
  <c r="S33" i="21" s="1"/>
  <c r="O30" i="21"/>
  <c r="P30" i="21" s="1" a="1"/>
  <c r="P30" i="21" s="1"/>
  <c r="S30" i="21" s="1"/>
  <c r="O31" i="21"/>
  <c r="P31" i="21" s="1" a="1"/>
  <c r="P31" i="21" s="1"/>
  <c r="S31" i="21" s="1"/>
  <c r="O27" i="21"/>
  <c r="P27" i="21" s="1" a="1"/>
  <c r="P27" i="21" s="1"/>
  <c r="S27" i="21" s="1"/>
  <c r="O29" i="21"/>
  <c r="P29" i="21" s="1" a="1"/>
  <c r="P29" i="21" s="1"/>
  <c r="S29" i="21" s="1"/>
  <c r="E7" i="7"/>
  <c r="G6" i="7"/>
  <c r="AC456" i="3"/>
  <c r="E138" i="20"/>
  <c r="E139" i="20" s="1"/>
  <c r="AK143" i="20" s="1"/>
  <c r="T807" i="20" s="1"/>
  <c r="AF807" i="20" s="1"/>
  <c r="BE74" i="3" s="1"/>
  <c r="E4" i="7"/>
  <c r="Z818"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G26" i="21"/>
  <c r="F29" i="21"/>
  <c r="G29" i="21"/>
  <c r="O22" i="7"/>
  <c r="O35" i="7" s="1"/>
  <c r="Q15" i="7"/>
  <c r="O9" i="7"/>
  <c r="Q8" i="7"/>
  <c r="G7" i="7" l="1"/>
  <c r="I6" i="7"/>
  <c r="G45" i="21"/>
  <c r="G47" i="21" s="1"/>
  <c r="E10" i="21" s="1"/>
  <c r="T11" i="15"/>
  <c r="T23" i="15" s="1"/>
  <c r="T26" i="15" s="1"/>
  <c r="T28" i="15" s="1"/>
  <c r="Y11" i="15"/>
  <c r="Y23" i="15" s="1"/>
  <c r="Y26" i="15" s="1"/>
  <c r="Y28" i="15" s="1"/>
  <c r="Y64" i="15" s="1"/>
  <c r="Y68" i="15" s="1"/>
  <c r="Y69" i="15" s="1"/>
  <c r="G4" i="7"/>
  <c r="E5" i="7"/>
  <c r="E11" i="7" s="1"/>
  <c r="E37" i="7" s="1"/>
  <c r="U58" i="7"/>
  <c r="W53" i="7"/>
  <c r="AJ1053" i="3"/>
  <c r="AA1057" i="3" s="1"/>
  <c r="G1058" i="3" s="1"/>
  <c r="AP552" i="20"/>
  <c r="AP554" i="20" s="1"/>
  <c r="Q22" i="7"/>
  <c r="Q35" i="7" s="1"/>
  <c r="S15" i="7"/>
  <c r="G79" i="21"/>
  <c r="G31" i="21"/>
  <c r="G33" i="21" s="1"/>
  <c r="E9" i="21" s="1"/>
  <c r="G88" i="21"/>
  <c r="G90" i="21" s="1"/>
  <c r="E16" i="21" s="1"/>
  <c r="G111" i="21"/>
  <c r="G96" i="21"/>
  <c r="Q9" i="7"/>
  <c r="S8" i="7"/>
  <c r="K6" i="7" l="1"/>
  <c r="I7" i="7"/>
  <c r="E49" i="7"/>
  <c r="E45" i="7"/>
  <c r="G5" i="7"/>
  <c r="G11" i="7" s="1"/>
  <c r="G37" i="7" s="1"/>
  <c r="I4" i="7"/>
  <c r="T29" i="15"/>
  <c r="G80" i="21"/>
  <c r="E15" i="21" s="1"/>
  <c r="W58" i="7"/>
  <c r="Y53" i="7"/>
  <c r="T24" i="15"/>
  <c r="Y38" i="15" s="1"/>
  <c r="Y40" i="15" s="1"/>
  <c r="AP557" i="20"/>
  <c r="AP556" i="20" s="1"/>
  <c r="AP559" i="20" s="1"/>
  <c r="AF552" i="20" s="1"/>
  <c r="AF553" i="20" s="1"/>
  <c r="AK559" i="20" s="1"/>
  <c r="T818" i="20" s="1"/>
  <c r="AF818" i="20" s="1"/>
  <c r="BE81" i="3" s="1"/>
  <c r="G101" i="21"/>
  <c r="G113" i="21"/>
  <c r="G97" i="21"/>
  <c r="S22" i="7"/>
  <c r="S35" i="7" s="1"/>
  <c r="U15" i="7"/>
  <c r="U8" i="7"/>
  <c r="S9" i="7"/>
  <c r="M6" i="7" l="1"/>
  <c r="K7" i="7"/>
  <c r="G49" i="7"/>
  <c r="G45" i="7"/>
  <c r="E48" i="7"/>
  <c r="E47" i="7"/>
  <c r="E60" i="7"/>
  <c r="I5" i="7"/>
  <c r="I11" i="7" s="1"/>
  <c r="I37" i="7" s="1"/>
  <c r="K4" i="7"/>
  <c r="AA53" i="7"/>
  <c r="Y58" i="7"/>
  <c r="AD38" i="15"/>
  <c r="AD40" i="15" s="1"/>
  <c r="Y41" i="15" s="1"/>
  <c r="G115" i="21"/>
  <c r="E17" i="21" s="1"/>
  <c r="E14" i="21" s="1"/>
  <c r="E18" i="21" s="1"/>
  <c r="U22" i="7"/>
  <c r="U35" i="7" s="1"/>
  <c r="W15" i="7"/>
  <c r="U9" i="7"/>
  <c r="W8" i="7"/>
  <c r="AB50" i="15" l="1"/>
  <c r="M7" i="7"/>
  <c r="O6" i="7"/>
  <c r="M4" i="7"/>
  <c r="K5" i="7"/>
  <c r="K11" i="7" s="1"/>
  <c r="K37" i="7" s="1"/>
  <c r="E62" i="7"/>
  <c r="E66" i="7"/>
  <c r="E67" i="7"/>
  <c r="G48" i="7"/>
  <c r="G60" i="7"/>
  <c r="G47" i="7"/>
  <c r="I45" i="7"/>
  <c r="I49" i="7"/>
  <c r="AC53" i="7"/>
  <c r="AA58" i="7"/>
  <c r="W22" i="7"/>
  <c r="W35" i="7" s="1"/>
  <c r="Y15" i="7"/>
  <c r="W9" i="7"/>
  <c r="Y8" i="7"/>
  <c r="BE62" i="3" l="1"/>
  <c r="AB54" i="15"/>
  <c r="AB55" i="15" s="1"/>
  <c r="AB56" i="15" s="1"/>
  <c r="M26" i="3" s="1"/>
  <c r="BE19" i="3" s="1"/>
  <c r="O7" i="7"/>
  <c r="Q6" i="7"/>
  <c r="K45" i="7"/>
  <c r="K49" i="7"/>
  <c r="I60" i="7"/>
  <c r="I47" i="7"/>
  <c r="I48" i="7"/>
  <c r="G62" i="7"/>
  <c r="G66" i="7"/>
  <c r="G67" i="7"/>
  <c r="E70" i="7"/>
  <c r="E72" i="7" s="1"/>
  <c r="O4" i="7"/>
  <c r="M5" i="7"/>
  <c r="M11" i="7" s="1"/>
  <c r="M37" i="7" s="1"/>
  <c r="AE53" i="7"/>
  <c r="AC58" i="7"/>
  <c r="Y22" i="7"/>
  <c r="Y35" i="7" s="1"/>
  <c r="AA15" i="7"/>
  <c r="Y9" i="7"/>
  <c r="AA8" i="7"/>
  <c r="P204" i="3" l="1"/>
  <c r="AB57" i="15"/>
  <c r="AB59" i="15" s="1"/>
  <c r="AB77" i="15" s="1"/>
  <c r="S6" i="7"/>
  <c r="Q7" i="7"/>
  <c r="M45" i="7"/>
  <c r="M49" i="7"/>
  <c r="O5" i="7"/>
  <c r="O11" i="7" s="1"/>
  <c r="O37" i="7" s="1"/>
  <c r="Q4" i="7"/>
  <c r="G70" i="7"/>
  <c r="G72" i="7" s="1"/>
  <c r="I66" i="7"/>
  <c r="I67" i="7"/>
  <c r="I62" i="7"/>
  <c r="K47" i="7"/>
  <c r="K60" i="7"/>
  <c r="K48" i="7"/>
  <c r="AG53" i="7"/>
  <c r="AG58" i="7" s="1"/>
  <c r="AE58" i="7"/>
  <c r="AC15" i="7"/>
  <c r="AA22" i="7"/>
  <c r="AA35" i="7" s="1"/>
  <c r="AC8" i="7"/>
  <c r="AA9" i="7"/>
  <c r="S7" i="7" l="1"/>
  <c r="U6" i="7"/>
  <c r="K66" i="7"/>
  <c r="K67" i="7"/>
  <c r="K62" i="7"/>
  <c r="I70" i="7"/>
  <c r="I72" i="7" s="1"/>
  <c r="O45" i="7"/>
  <c r="O49" i="7"/>
  <c r="Q5" i="7"/>
  <c r="Q11" i="7" s="1"/>
  <c r="Q37" i="7" s="1"/>
  <c r="S4" i="7"/>
  <c r="M60" i="7"/>
  <c r="M48" i="7"/>
  <c r="M47" i="7"/>
  <c r="AB78" i="15"/>
  <c r="AB79" i="15" s="1"/>
  <c r="AB81" i="15" s="1"/>
  <c r="J82" i="15" s="1"/>
  <c r="AE15" i="7"/>
  <c r="AC22" i="7"/>
  <c r="AC35" i="7" s="1"/>
  <c r="AC9" i="7"/>
  <c r="AE8" i="7"/>
  <c r="U7" i="7" l="1"/>
  <c r="W6" i="7"/>
  <c r="M62" i="7"/>
  <c r="M67" i="7"/>
  <c r="M66" i="7"/>
  <c r="Q49" i="7"/>
  <c r="Q45" i="7"/>
  <c r="S5" i="7"/>
  <c r="S11" i="7" s="1"/>
  <c r="S37" i="7" s="1"/>
  <c r="U4" i="7"/>
  <c r="O47" i="7"/>
  <c r="O48" i="7"/>
  <c r="O60" i="7"/>
  <c r="K70" i="7"/>
  <c r="K72" i="7" s="1"/>
  <c r="M27" i="3"/>
  <c r="BE20" i="3" s="1"/>
  <c r="I10" i="21"/>
  <c r="I11" i="21" s="1"/>
  <c r="AE22" i="7"/>
  <c r="AE35" i="7" s="1"/>
  <c r="AG15" i="7"/>
  <c r="AG22" i="7" s="1"/>
  <c r="AG35" i="7" s="1"/>
  <c r="AE9" i="7"/>
  <c r="AG8" i="7"/>
  <c r="AG9" i="7" s="1"/>
  <c r="W7" i="7" l="1"/>
  <c r="Y6" i="7"/>
  <c r="M70" i="7"/>
  <c r="M72" i="7" s="1"/>
  <c r="O67" i="7"/>
  <c r="O66" i="7"/>
  <c r="O62" i="7"/>
  <c r="S49" i="7"/>
  <c r="S45" i="7"/>
  <c r="U5" i="7"/>
  <c r="U11" i="7" s="1"/>
  <c r="U37" i="7" s="1"/>
  <c r="W4" i="7"/>
  <c r="Q60" i="7"/>
  <c r="Q47" i="7"/>
  <c r="Q48" i="7"/>
  <c r="I18" i="21"/>
  <c r="H4" i="21" s="1"/>
  <c r="P205" i="3"/>
  <c r="AA6" i="7" l="1"/>
  <c r="Y7" i="7"/>
  <c r="O70" i="7"/>
  <c r="O72" i="7" s="1"/>
  <c r="Q66" i="7"/>
  <c r="Q67" i="7"/>
  <c r="Q62" i="7"/>
  <c r="W5" i="7"/>
  <c r="W11" i="7" s="1"/>
  <c r="W37" i="7" s="1"/>
  <c r="Y4" i="7"/>
  <c r="U45" i="7"/>
  <c r="U49" i="7"/>
  <c r="S47" i="7"/>
  <c r="S48" i="7"/>
  <c r="S60" i="7"/>
  <c r="AA7" i="7" l="1"/>
  <c r="AC6" i="7"/>
  <c r="S67" i="7"/>
  <c r="S62" i="7"/>
  <c r="S66" i="7"/>
  <c r="U48" i="7"/>
  <c r="U60" i="7"/>
  <c r="U47" i="7"/>
  <c r="W49" i="7"/>
  <c r="W45" i="7"/>
  <c r="AA4" i="7"/>
  <c r="Y5" i="7"/>
  <c r="Y11" i="7" s="1"/>
  <c r="Y37" i="7" s="1"/>
  <c r="Q70" i="7"/>
  <c r="Q72" i="7" s="1"/>
  <c r="AE6" i="7" l="1"/>
  <c r="AC7" i="7"/>
  <c r="S70" i="7"/>
  <c r="S72" i="7" s="1"/>
  <c r="U62" i="7"/>
  <c r="U66" i="7"/>
  <c r="U67" i="7"/>
  <c r="Y49" i="7"/>
  <c r="Y45" i="7"/>
  <c r="AC4" i="7"/>
  <c r="AA5" i="7"/>
  <c r="AA11" i="7" s="1"/>
  <c r="AA37" i="7" s="1"/>
  <c r="W47" i="7"/>
  <c r="W48" i="7"/>
  <c r="W60" i="7"/>
  <c r="AE7" i="7" l="1"/>
  <c r="AG6" i="7"/>
  <c r="AG7" i="7" s="1"/>
  <c r="W67" i="7"/>
  <c r="W62" i="7"/>
  <c r="W66" i="7"/>
  <c r="AA45" i="7"/>
  <c r="AA49" i="7"/>
  <c r="AE4" i="7"/>
  <c r="AC5" i="7"/>
  <c r="AC11" i="7" s="1"/>
  <c r="AC37" i="7" s="1"/>
  <c r="Y47" i="7"/>
  <c r="Y48" i="7"/>
  <c r="Y60" i="7"/>
  <c r="U70" i="7"/>
  <c r="U72" i="7" s="1"/>
  <c r="W70" i="7" l="1"/>
  <c r="W72" i="7" s="1"/>
  <c r="AC45" i="7"/>
  <c r="AC49" i="7"/>
  <c r="AE5" i="7"/>
  <c r="AE11" i="7" s="1"/>
  <c r="AE37" i="7" s="1"/>
  <c r="AG4" i="7"/>
  <c r="Y67" i="7"/>
  <c r="Y62" i="7"/>
  <c r="Y66" i="7"/>
  <c r="AA47" i="7"/>
  <c r="AA48" i="7"/>
  <c r="AA60" i="7"/>
  <c r="Y70" i="7" l="1"/>
  <c r="Y72" i="7" s="1"/>
  <c r="AA66" i="7"/>
  <c r="AA67" i="7"/>
  <c r="AA62" i="7"/>
  <c r="AE45" i="7"/>
  <c r="AE49" i="7"/>
  <c r="AG5" i="7"/>
  <c r="AG11" i="7" s="1"/>
  <c r="AG37" i="7" s="1"/>
  <c r="AC60" i="7"/>
  <c r="AC48" i="7"/>
  <c r="AC47" i="7"/>
  <c r="AA70" i="7" l="1"/>
  <c r="AA72" i="7" s="1"/>
  <c r="AC67" i="7"/>
  <c r="AC66" i="7"/>
  <c r="AC62" i="7"/>
  <c r="AG45" i="7"/>
  <c r="AG49" i="7"/>
  <c r="AE47" i="7"/>
  <c r="AE60" i="7"/>
  <c r="AE48" i="7"/>
  <c r="BH753" i="3"/>
  <c r="AC753" i="3" s="1"/>
  <c r="BE42" i="3" s="1"/>
  <c r="AC70" i="7" l="1"/>
  <c r="AC72" i="7" s="1"/>
  <c r="AE67" i="7"/>
  <c r="AE62" i="7"/>
  <c r="AE66" i="7"/>
  <c r="AG48" i="7"/>
  <c r="AG60" i="7"/>
  <c r="AG47" i="7"/>
  <c r="E93" i="20"/>
  <c r="E94" i="20" s="1"/>
  <c r="E95" i="20" s="1"/>
  <c r="E103" i="20"/>
  <c r="E106" i="20" s="1"/>
  <c r="AP106" i="20" s="1"/>
  <c r="AK109" i="20" s="1"/>
  <c r="T806" i="20" s="1"/>
  <c r="AF806" i="20" s="1"/>
  <c r="AE70" i="7" l="1"/>
  <c r="AE72" i="7" s="1"/>
  <c r="AG66" i="7"/>
  <c r="AG62" i="7"/>
  <c r="AG67" i="7"/>
  <c r="BE73" i="3"/>
  <c r="AF821" i="20"/>
  <c r="BE70" i="3" s="1"/>
  <c r="H3" i="21"/>
  <c r="AG70" i="7" l="1"/>
  <c r="AG72" i="7"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<sst xmlns="http://schemas.openxmlformats.org/spreadsheetml/2006/main" count="5036" uniqueCount="2737">
  <si>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</si>
  <si>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</si>
  <si>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</si>
  <si>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</si>
  <si>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</si>
  <si>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</si>
  <si>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</si>
  <si>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</si>
  <si>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</si>
  <si>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</si>
  <si>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</si>
  <si>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</si>
  <si>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</si>
  <si>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</si>
  <si>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</si>
  <si>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</si>
  <si>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</si>
  <si>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</si>
  <si>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</si>
  <si>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</si>
  <si>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</si>
  <si>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</si>
  <si>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</si>
  <si>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</si>
  <si>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</si>
  <si>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</si>
  <si>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</si>
  <si>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</si>
  <si>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</si>
  <si>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</si>
  <si>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</si>
  <si>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</si>
  <si>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</si>
  <si>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</si>
  <si>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</si>
  <si>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</si>
  <si>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</si>
  <si>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</si>
  <si>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</si>
  <si>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</si>
  <si>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</si>
  <si>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</si>
  <si>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</si>
  <si>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</si>
  <si>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</si>
  <si>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</si>
  <si>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</si>
  <si>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</si>
  <si>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</si>
  <si>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</si>
  <si>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</si>
  <si>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</si>
  <si>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</si>
  <si>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</si>
  <si>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</si>
  <si>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</si>
  <si>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</si>
  <si>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</si>
  <si>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</si>
  <si>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</si>
  <si>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</si>
  <si>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</si>
  <si>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</si>
  <si>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</si>
  <si>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</si>
  <si>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</si>
  <si>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</si>
  <si>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</si>
  <si>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</si>
  <si>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</si>
  <si>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</si>
  <si>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</si>
  <si>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</si>
  <si>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</si>
  <si>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</si>
  <si>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</si>
  <si>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</si>
  <si>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</si>
  <si>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</si>
  <si>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</si>
  <si>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</si>
  <si>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</si>
  <si>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</si>
  <si>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</si>
  <si>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</si>
  <si>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</si>
  <si>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</si>
  <si>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</si>
  <si>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</si>
  <si>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</si>
  <si>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</si>
  <si>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</si>
  <si>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</si>
  <si>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</si>
  <si>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</si>
  <si>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</si>
  <si>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</si>
  <si>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</si>
  <si>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</si>
  <si>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</si>
  <si>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</si>
  <si>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</si>
  <si>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</si>
  <si>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</si>
  <si>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</si>
  <si>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</si>
  <si>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</si>
  <si>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</si>
  <si>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</si>
  <si>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</si>
  <si>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</si>
  <si>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</si>
  <si>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</si>
  <si>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</si>
  <si>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</si>
  <si>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</si>
  <si>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</si>
  <si>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</si>
  <si>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</si>
  <si>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</si>
  <si>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</si>
  <si>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</si>
  <si>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</si>
  <si>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</si>
  <si>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</si>
  <si>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</si>
  <si>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</si>
  <si>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</si>
  <si>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</si>
  <si>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</si>
  <si>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</si>
  <si>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</si>
  <si>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</si>
  <si>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</si>
  <si>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</si>
  <si>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</si>
  <si>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</si>
  <si>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</si>
  <si>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</si>
  <si>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</si>
  <si>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</si>
  <si>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</si>
  <si>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</si>
  <si>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</si>
  <si>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</si>
  <si>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</si>
  <si>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</si>
  <si>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</si>
  <si>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</si>
  <si>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</si>
  <si>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</si>
  <si>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</si>
  <si>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</si>
  <si>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</si>
  <si>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</si>
  <si>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</si>
  <si>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</si>
  <si>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</si>
  <si>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</si>
  <si>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</si>
  <si>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</si>
  <si>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</si>
  <si>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</si>
  <si>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</si>
  <si>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</si>
  <si>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</si>
  <si>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</si>
  <si>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</si>
  <si>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</si>
  <si>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</si>
  <si>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</si>
  <si>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</si>
  <si>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</si>
  <si>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</si>
  <si>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</si>
  <si>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</si>
  <si>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</si>
  <si>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</si>
  <si>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</si>
  <si>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</si>
  <si>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</si>
  <si>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</si>
  <si>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</si>
  <si>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</si>
  <si>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</si>
  <si>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</si>
  <si>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</si>
  <si>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</si>
  <si>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</si>
  <si>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</si>
  <si>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</si>
  <si>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</si>
  <si>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</si>
  <si>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</si>
  <si>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</si>
  <si>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</si>
  <si>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</si>
  <si>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</si>
  <si>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</si>
  <si>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</si>
  <si>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</si>
  <si>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</si>
  <si>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</si>
  <si>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</si>
  <si>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</si>
  <si>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</si>
  <si>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</si>
  <si>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</si>
  <si>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</si>
  <si>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</si>
  <si>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</si>
  <si>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</si>
  <si>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</si>
  <si>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</si>
  <si>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</si>
  <si>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</si>
  <si>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</si>
  <si>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</si>
  <si>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</si>
  <si>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</si>
  <si>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</si>
  <si>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</si>
  <si>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</si>
  <si>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</si>
  <si>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</si>
  <si>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</si>
  <si>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</si>
  <si>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</si>
  <si>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</si>
  <si>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</si>
  <si>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</si>
  <si>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</si>
  <si>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</si>
  <si>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</si>
  <si>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</si>
  <si>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</si>
  <si>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</si>
  <si>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</si>
  <si>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</si>
  <si>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</si>
  <si>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</si>
  <si>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</si>
  <si>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</si>
  <si>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</si>
  <si>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</si>
  <si>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</si>
  <si>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</si>
  <si>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</si>
  <si>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</si>
  <si>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</si>
  <si>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</si>
  <si>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</si>
  <si>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</si>
  <si>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</si>
  <si>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</si>
  <si>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</si>
  <si>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</si>
  <si>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</si>
  <si>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</si>
  <si>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</si>
  <si>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</si>
  <si>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</si>
  <si>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</si>
  <si>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</si>
  <si>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</si>
  <si>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</si>
  <si>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</si>
  <si>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</si>
  <si>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</si>
  <si>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</si>
  <si>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</si>
  <si>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</si>
  <si>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</si>
  <si>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</si>
  <si>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</si>
  <si>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</si>
  <si>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</si>
  <si>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</si>
  <si>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</si>
  <si>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</si>
  <si>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</si>
  <si>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</si>
  <si>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</si>
  <si>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</si>
  <si>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</si>
  <si>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</si>
  <si>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</si>
  <si>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</si>
  <si>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</si>
  <si>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</si>
  <si>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</si>
  <si>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</si>
  <si>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</si>
  <si>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</si>
  <si>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</si>
  <si>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</si>
  <si>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</si>
  <si>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</si>
  <si>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</si>
  <si>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</si>
  <si>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</si>
  <si>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</si>
  <si>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</si>
  <si>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</si>
  <si>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</si>
  <si>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</si>
  <si>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</si>
  <si>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</si>
  <si>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</si>
  <si>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</si>
  <si>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</si>
  <si>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</si>
  <si>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</si>
  <si>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</si>
  <si>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</si>
  <si>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</si>
  <si>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</si>
  <si>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</si>
  <si>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</si>
  <si>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</si>
  <si>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</si>
  <si>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</si>
  <si>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</si>
  <si>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</si>
  <si>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</si>
  <si>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</si>
  <si>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</si>
  <si>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</si>
  <si>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</si>
  <si>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</si>
  <si>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</si>
  <si>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</si>
  <si>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</si>
  <si>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</si>
  <si>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</si>
  <si>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</si>
  <si>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</si>
  <si>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</si>
  <si>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</si>
  <si>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</si>
  <si>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</si>
  <si>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</si>
  <si>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</si>
  <si>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</si>
  <si>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</si>
  <si>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</si>
  <si>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</si>
  <si>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</si>
  <si>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</si>
  <si>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</si>
  <si>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</si>
  <si>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</si>
  <si>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</si>
  <si>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</si>
  <si>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</si>
  <si>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</si>
  <si>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</si>
  <si>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</si>
  <si>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</si>
  <si>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</si>
  <si>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</si>
  <si>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</si>
  <si>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</si>
  <si>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</si>
  <si>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</si>
  <si>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</si>
  <si>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</si>
  <si>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</si>
  <si>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</si>
  <si>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</si>
  <si>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</si>
  <si>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</si>
  <si>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</si>
  <si>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</si>
  <si>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</si>
  <si>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</si>
  <si>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</si>
  <si>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</si>
  <si>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</si>
  <si>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</si>
  <si>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</si>
  <si>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</si>
  <si>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</si>
  <si>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</si>
  <si>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</si>
  <si>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</si>
  <si>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</si>
  <si>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</si>
  <si>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</si>
  <si>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</si>
  <si>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</si>
  <si>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</si>
  <si>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</si>
  <si>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</si>
  <si>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</si>
  <si>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</si>
  <si>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</si>
  <si>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</si>
  <si>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</si>
  <si>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</si>
  <si>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</si>
  <si>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</si>
  <si>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</si>
  <si>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</si>
  <si>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</si>
  <si>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</si>
  <si>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</si>
  <si>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</si>
  <si>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</si>
  <si>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</si>
  <si>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</si>
  <si>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</si>
  <si>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</si>
  <si>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</si>
  <si>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</si>
  <si>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</si>
  <si>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</si>
  <si>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</si>
  <si>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</si>
  <si>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</si>
  <si>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</si>
  <si>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</si>
  <si>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</si>
  <si>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</si>
  <si>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</si>
  <si>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</si>
  <si>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</si>
  <si>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</si>
  <si>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</si>
  <si>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</si>
  <si>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</si>
  <si>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</si>
  <si>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</si>
  <si>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</si>
  <si>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</si>
  <si>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</si>
  <si>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</si>
  <si>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</si>
  <si>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</si>
  <si>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</si>
  <si>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</si>
  <si>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</si>
  <si>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</si>
  <si>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</si>
  <si>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</si>
  <si>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</si>
  <si>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</si>
  <si>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</si>
  <si>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</si>
  <si>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</si>
  <si>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</si>
  <si>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</si>
  <si>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</si>
  <si>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</si>
  <si>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</si>
  <si>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</si>
  <si>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</si>
  <si>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</si>
  <si>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</si>
  <si>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</si>
  <si>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</si>
  <si>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</si>
  <si>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</si>
  <si>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</si>
  <si>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</si>
  <si>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</si>
  <si>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</si>
  <si>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</si>
  <si>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</si>
  <si>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</si>
  <si>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</si>
  <si>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</si>
  <si>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</si>
  <si>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</si>
  <si>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</si>
  <si>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</si>
  <si>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</si>
  <si>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</si>
  <si>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</si>
  <si>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</si>
  <si>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</si>
  <si>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</si>
  <si>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</si>
  <si>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</si>
  <si>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</si>
  <si>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</si>
  <si>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</si>
  <si>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</si>
  <si>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</si>
  <si>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</si>
  <si>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</si>
  <si>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</si>
  <si>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</si>
  <si>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</si>
  <si>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</si>
  <si>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</si>
  <si>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</si>
  <si>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</si>
  <si>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</si>
  <si>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</si>
  <si>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</si>
  <si>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</si>
  <si>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</si>
  <si>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</si>
  <si>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</si>
  <si>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</si>
  <si>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</si>
  <si>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</si>
  <si>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</si>
  <si>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</si>
  <si>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</si>
  <si>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</si>
  <si>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</si>
  <si>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</si>
  <si>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</si>
  <si>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</si>
  <si>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</si>
  <si>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</si>
  <si>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</si>
  <si>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</si>
  <si>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</si>
  <si>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</si>
  <si>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</si>
  <si>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</si>
  <si>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</si>
  <si>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</si>
  <si>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</si>
  <si>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</si>
  <si>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</si>
  <si>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</si>
  <si>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</si>
  <si>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</si>
  <si>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</si>
  <si>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</si>
  <si>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</si>
  <si>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</si>
  <si>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</si>
  <si>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</si>
  <si>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</si>
  <si>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</si>
  <si>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</si>
  <si>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</si>
  <si>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</si>
  <si>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</si>
  <si>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</si>
  <si>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</si>
  <si>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</si>
  <si>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</si>
  <si>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</si>
  <si>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</si>
  <si>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</si>
  <si>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</si>
  <si>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</si>
  <si>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</si>
  <si>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</si>
  <si>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</si>
  <si>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</si>
  <si>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</si>
  <si>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</si>
  <si>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</si>
  <si>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</si>
  <si>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</si>
  <si>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</si>
  <si>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</si>
  <si>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</si>
  <si>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</si>
  <si>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</si>
  <si>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</si>
  <si>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</si>
  <si>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</si>
  <si>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</si>
  <si>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</si>
  <si>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</si>
  <si>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</si>
  <si>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</si>
  <si>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</si>
  <si>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</si>
  <si>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</si>
  <si>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</si>
  <si>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</si>
  <si>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</si>
  <si>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</si>
  <si>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</si>
  <si>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</si>
  <si>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</si>
  <si>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</si>
  <si>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</si>
  <si>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</si>
  <si>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</si>
  <si>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</si>
  <si>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</si>
  <si>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</si>
  <si>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</si>
  <si>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</si>
  <si>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</si>
  <si>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</si>
  <si>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</si>
  <si>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</si>
  <si>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</si>
  <si>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</si>
  <si>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</si>
  <si>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</si>
  <si>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</si>
  <si>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</si>
  <si>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</si>
  <si>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</si>
  <si>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</si>
  <si>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</si>
  <si>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</si>
  <si>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</si>
  <si>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</si>
  <si>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</si>
  <si>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</si>
  <si>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</si>
  <si>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</si>
  <si>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</si>
  <si>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</si>
  <si>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</si>
  <si>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</si>
  <si>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</si>
  <si>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</si>
  <si>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</si>
  <si>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</si>
  <si>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</si>
  <si>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</si>
  <si>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</si>
  <si>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</si>
  <si>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</si>
  <si>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</si>
  <si>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</si>
  <si>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</si>
  <si>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</si>
  <si>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</si>
  <si>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</si>
  <si>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</si>
  <si>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</si>
  <si>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</si>
  <si>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</si>
  <si>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</si>
  <si>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</si>
  <si>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</si>
  <si>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</si>
  <si>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</si>
  <si>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</si>
  <si>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</si>
  <si>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</si>
  <si>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</si>
  <si>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</si>
  <si>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</si>
  <si>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</si>
  <si>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</si>
  <si>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</si>
  <si>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</si>
  <si>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</si>
  <si>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</si>
  <si>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</si>
  <si>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</si>
  <si>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</si>
  <si>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</si>
  <si>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</si>
  <si>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</si>
  <si>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</si>
  <si>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</si>
  <si>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</si>
  <si>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</si>
  <si>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</si>
  <si>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</si>
  <si>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</si>
  <si>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</si>
  <si>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</si>
  <si>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</si>
  <si>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</si>
  <si>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</si>
  <si>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</si>
  <si>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</si>
  <si>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</si>
  <si>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</si>
  <si>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</si>
  <si>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</si>
  <si>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</si>
  <si>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</si>
  <si>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</si>
  <si>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</si>
  <si>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</si>
  <si>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</si>
  <si>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</si>
  <si>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</si>
  <si>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</si>
  <si>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</si>
  <si>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</si>
  <si>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</si>
  <si>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</si>
  <si>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</si>
  <si>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</si>
  <si>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</si>
  <si>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</si>
  <si>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</si>
  <si>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</si>
  <si>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</si>
  <si>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</si>
  <si>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</si>
  <si>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</si>
  <si>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</si>
  <si>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</si>
  <si>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</si>
  <si>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</si>
  <si>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</si>
  <si>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</si>
  <si>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</si>
  <si>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</si>
  <si>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</si>
  <si>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</si>
  <si>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</si>
  <si>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</si>
  <si>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</si>
  <si>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</si>
  <si>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</si>
  <si>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</si>
  <si>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</si>
  <si>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</si>
  <si>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</si>
  <si>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</si>
  <si>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</si>
  <si>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</si>
  <si>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</si>
  <si>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</si>
  <si>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</si>
  <si>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</si>
  <si>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</si>
  <si>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</si>
  <si>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</si>
  <si>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</si>
  <si>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</si>
  <si>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</si>
  <si>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</si>
  <si>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</si>
  <si>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</si>
  <si>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</si>
  <si>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</si>
  <si>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</si>
  <si>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</si>
  <si>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</si>
  <si>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</si>
  <si>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</si>
  <si>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</si>
  <si>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</si>
  <si>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</si>
  <si>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</si>
  <si>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</si>
  <si>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</si>
  <si>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</si>
  <si>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</si>
  <si>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</si>
  <si>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</si>
  <si>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</si>
  <si>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</si>
  <si>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</si>
  <si>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</si>
  <si>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</si>
  <si>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</si>
  <si>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</si>
  <si>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</si>
  <si>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</si>
  <si>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</si>
  <si>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</si>
  <si>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</si>
  <si>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</si>
  <si>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</si>
  <si>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</si>
  <si>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</si>
  <si>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</si>
  <si>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</si>
  <si>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</si>
  <si>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</si>
  <si>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</si>
  <si>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</si>
  <si>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</si>
  <si>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</si>
  <si>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</si>
  <si>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</si>
  <si>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</si>
  <si>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</si>
  <si>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</si>
  <si>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</si>
  <si>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</si>
  <si>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</si>
  <si>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</si>
  <si>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</si>
  <si>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</si>
  <si>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</si>
  <si>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</si>
  <si>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</si>
  <si>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</si>
  <si>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</si>
  <si>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</si>
  <si>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</si>
  <si>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</si>
  <si>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</si>
  <si>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</si>
  <si>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</si>
  <si>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</si>
  <si>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</si>
  <si>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</si>
  <si>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</si>
  <si>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</si>
  <si>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</si>
  <si>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</si>
  <si>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</si>
  <si>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</si>
  <si>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</si>
  <si>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</si>
  <si>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</si>
  <si>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</si>
  <si>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</si>
  <si>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</si>
  <si>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</si>
  <si>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</si>
  <si>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</si>
  <si>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</si>
  <si>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</si>
  <si>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</si>
  <si>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</si>
  <si>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</si>
  <si>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</si>
  <si>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</si>
  <si>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</si>
  <si>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</si>
  <si>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</si>
  <si>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</si>
  <si>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</si>
  <si>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</si>
  <si>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</si>
  <si>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</si>
  <si>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</si>
  <si>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</si>
  <si>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</si>
  <si>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</si>
  <si>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</si>
  <si>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</si>
  <si>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</si>
  <si>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</si>
  <si>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</si>
  <si>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</si>
  <si>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</si>
  <si>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</si>
  <si>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</si>
  <si>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</si>
  <si>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</si>
  <si>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</si>
  <si>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</si>
  <si>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</si>
  <si>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</si>
  <si>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</si>
  <si>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</si>
  <si>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</si>
  <si>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</si>
  <si>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</si>
  <si>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</si>
  <si>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</si>
  <si>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</si>
  <si>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</si>
  <si>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</si>
  <si>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</si>
  <si>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</si>
  <si>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</si>
  <si>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</si>
  <si>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</si>
  <si>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</si>
  <si>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</si>
  <si>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</si>
  <si>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</si>
  <si>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</si>
  <si>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</si>
  <si>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</si>
  <si>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</si>
  <si>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</si>
  <si>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</si>
  <si>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</si>
  <si>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</si>
  <si>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</si>
  <si>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</si>
  <si>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</si>
  <si>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</si>
  <si>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</si>
  <si>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</si>
  <si>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</si>
  <si>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</si>
  <si>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</si>
  <si>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</si>
  <si>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</si>
  <si>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</si>
  <si>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</si>
  <si>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</si>
  <si>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</si>
  <si>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</si>
  <si>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</si>
  <si>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</si>
  <si>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</si>
  <si>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</si>
  <si>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</si>
  <si>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</si>
  <si>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</si>
  <si>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</si>
  <si>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</si>
  <si>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</si>
  <si>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</si>
  <si>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</si>
  <si>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</si>
  <si>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</si>
  <si>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</si>
  <si>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</si>
  <si>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</si>
  <si>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</si>
  <si>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</si>
  <si>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</si>
  <si>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</si>
  <si>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</si>
  <si>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</si>
  <si>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</si>
  <si>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</si>
  <si>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</si>
  <si>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</si>
  <si>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</si>
  <si>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</si>
  <si>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</si>
  <si>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</si>
  <si>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</si>
  <si>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</si>
  <si>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</si>
  <si>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</si>
  <si>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</si>
  <si>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</si>
  <si>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</si>
  <si>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</si>
  <si>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</si>
  <si>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</si>
  <si>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</si>
  <si>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</si>
  <si>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</si>
  <si>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</si>
  <si>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</si>
  <si>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</si>
  <si>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</si>
  <si>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</si>
  <si>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</si>
  <si>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</si>
  <si>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</si>
  <si>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</si>
  <si>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</si>
  <si>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</si>
  <si>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</si>
  <si>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</si>
  <si>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</si>
  <si>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</si>
  <si>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</si>
  <si>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</si>
  <si>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</si>
  <si>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</si>
  <si>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</si>
  <si>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</si>
  <si>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</si>
  <si>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</si>
  <si>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</si>
  <si>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</si>
  <si>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</si>
  <si>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</si>
  <si>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</si>
  <si>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</si>
  <si>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</si>
  <si>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</si>
  <si>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</si>
  <si>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</si>
  <si>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</si>
  <si>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</si>
  <si>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</si>
  <si>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</si>
  <si>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</si>
  <si>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</si>
  <si>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</si>
  <si>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</si>
  <si>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</si>
  <si>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</si>
  <si>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</si>
  <si>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</si>
  <si>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</si>
  <si>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</si>
  <si>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</si>
  <si>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</si>
  <si>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</si>
  <si>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</si>
  <si>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</si>
  <si>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</si>
  <si>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</si>
  <si>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</si>
  <si>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</si>
  <si>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</si>
  <si>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</si>
  <si>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</si>
  <si>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</si>
  <si>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</si>
  <si>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</si>
  <si>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</si>
  <si>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</si>
  <si>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</si>
  <si>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</si>
  <si>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</si>
  <si>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</si>
  <si>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</si>
  <si>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</si>
  <si>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</si>
  <si>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</si>
  <si>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</si>
  <si>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</si>
  <si>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</si>
  <si>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</si>
  <si>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</si>
  <si>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</si>
  <si>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</si>
  <si>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</si>
  <si>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</si>
  <si>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</si>
  <si>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</si>
  <si>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</si>
  <si>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</si>
  <si>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</si>
  <si>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</si>
  <si>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</si>
  <si>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</si>
  <si>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</si>
  <si>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</si>
  <si>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</si>
  <si>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</si>
  <si>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</si>
  <si>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</si>
  <si>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</si>
  <si>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</si>
  <si>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</si>
  <si>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</si>
  <si>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</si>
  <si>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</si>
  <si>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</si>
  <si>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</si>
  <si>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</si>
  <si>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</si>
  <si>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</si>
  <si>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</si>
  <si>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</si>
  <si>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</si>
  <si>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</si>
  <si>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</si>
  <si>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</si>
  <si>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</si>
  <si>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</si>
  <si>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</si>
  <si>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</si>
  <si>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</si>
  <si>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</si>
  <si>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</si>
  <si>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</si>
  <si>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</si>
  <si>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</si>
  <si>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</si>
  <si>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</si>
  <si>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</si>
  <si>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</si>
  <si>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</si>
  <si>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</si>
  <si>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</si>
  <si>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</si>
  <si>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</si>
  <si>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</si>
  <si>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</si>
  <si>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</si>
  <si>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</si>
  <si>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</si>
  <si>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</si>
  <si>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</si>
  <si>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</si>
  <si>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</si>
  <si>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</si>
  <si>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</si>
  <si>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</si>
  <si>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</si>
  <si>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</si>
  <si>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</si>
  <si>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</si>
  <si>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</si>
  <si>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</si>
  <si>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</si>
  <si>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</si>
  <si>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</si>
  <si>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</si>
  <si>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</si>
  <si>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</si>
  <si>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</si>
  <si>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</si>
  <si>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</si>
  <si>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</si>
  <si>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</si>
  <si>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</si>
  <si>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</si>
  <si>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</si>
  <si>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</si>
  <si>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</si>
  <si>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</si>
  <si>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</si>
  <si>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</si>
  <si>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</si>
  <si>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</si>
  <si>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</si>
  <si>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</si>
  <si>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</si>
  <si>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</si>
  <si>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</si>
  <si>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</si>
  <si>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</si>
  <si>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</si>
  <si>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</si>
  <si>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</si>
  <si>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</si>
  <si>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</si>
  <si>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</si>
  <si>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</si>
  <si>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</si>
  <si>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</si>
  <si>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</si>
  <si>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</si>
  <si>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</si>
  <si>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</si>
  <si>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</si>
  <si>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</si>
  <si>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</si>
  <si>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</si>
  <si>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</si>
  <si>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</si>
  <si>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</si>
  <si>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</si>
  <si>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</si>
  <si>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</si>
  <si>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</si>
  <si>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</si>
  <si>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</si>
  <si>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</si>
  <si>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</si>
  <si>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</si>
  <si>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</si>
  <si>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</si>
  <si>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</si>
  <si>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</si>
  <si>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</si>
  <si>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</si>
  <si>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</si>
  <si>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</si>
  <si>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</si>
  <si>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</si>
  <si>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</si>
  <si>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</si>
  <si>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</si>
  <si>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</si>
  <si>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</si>
  <si>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</si>
  <si>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</si>
  <si>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</si>
  <si>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</si>
  <si>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</si>
  <si>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</si>
  <si>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</si>
  <si>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</si>
  <si>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</si>
  <si>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</si>
  <si>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</si>
  <si>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</si>
  <si>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</si>
  <si>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</si>
  <si>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</si>
  <si>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</si>
  <si>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</si>
  <si>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</si>
  <si>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</si>
  <si>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</si>
  <si>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</si>
  <si>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</si>
  <si>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</si>
  <si>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</si>
  <si>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</si>
  <si>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</si>
  <si>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</si>
  <si>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</si>
  <si>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</si>
  <si>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</si>
  <si>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</si>
  <si>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</si>
  <si>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</si>
  <si>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</si>
  <si>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</si>
  <si>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</si>
  <si>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</si>
  <si>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</si>
  <si>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</si>
  <si>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</si>
  <si>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</si>
  <si>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</si>
  <si>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</si>
  <si>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</si>
  <si>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</si>
  <si>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</si>
  <si>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</si>
  <si>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</si>
  <si>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</si>
  <si>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</si>
  <si>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</si>
  <si>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</si>
  <si>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</si>
  <si>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</si>
  <si>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</si>
  <si>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</si>
  <si>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</si>
  <si>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</si>
  <si>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</si>
  <si>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</si>
  <si>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</si>
  <si>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</si>
  <si>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</si>
  <si>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</si>
  <si>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</si>
  <si>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</si>
  <si>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</si>
  <si>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</si>
  <si>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</si>
  <si>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</si>
  <si>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</si>
  <si>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</si>
  <si>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</si>
  <si>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</si>
  <si>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</si>
  <si>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</si>
  <si>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</si>
  <si>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</si>
  <si>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</si>
  <si>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</si>
  <si>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</si>
  <si>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</si>
  <si>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</si>
  <si>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</si>
  <si>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</si>
  <si>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</si>
  <si>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</si>
  <si>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</si>
  <si>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</si>
  <si>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</si>
  <si>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</si>
  <si>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</si>
  <si>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</si>
  <si>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</si>
  <si>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</si>
  <si>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</si>
  <si>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</si>
  <si>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</si>
  <si>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</si>
  <si>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</si>
  <si>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</si>
  <si>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</si>
  <si>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</si>
  <si>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</si>
  <si>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</si>
  <si>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</si>
  <si>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</si>
  <si>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</si>
  <si>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</si>
  <si>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</si>
  <si>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</si>
  <si>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</si>
  <si>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</si>
  <si>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</si>
  <si>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</si>
  <si>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</si>
  <si>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</si>
  <si>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</si>
  <si>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</si>
  <si>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</si>
  <si>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</si>
  <si>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</si>
  <si>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</si>
  <si>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</si>
  <si>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</si>
  <si>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</si>
  <si>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</si>
  <si>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</si>
  <si>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</si>
  <si>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</si>
  <si>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</si>
  <si>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</si>
  <si>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</si>
  <si>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</si>
  <si>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</si>
  <si>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</si>
  <si>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</si>
  <si>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</si>
  <si>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</si>
  <si>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</si>
  <si>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</si>
  <si>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</si>
  <si>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</si>
  <si>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</si>
  <si>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</si>
  <si>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</si>
  <si>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</si>
  <si>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</si>
  <si>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</si>
  <si>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</si>
  <si>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</si>
  <si>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</si>
  <si>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</si>
  <si>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</si>
  <si>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</si>
  <si>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</si>
  <si>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</si>
  <si>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</si>
  <si>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</si>
  <si>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</si>
  <si>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</si>
  <si>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</si>
  <si>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</si>
  <si>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</si>
  <si>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</si>
  <si>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</si>
  <si>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</si>
  <si>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</si>
  <si>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</si>
  <si>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</si>
  <si>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</si>
  <si>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</si>
  <si>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</si>
  <si>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</si>
  <si>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</si>
  <si>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</si>
  <si>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</si>
  <si>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</si>
  <si>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</si>
  <si>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</si>
  <si>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</si>
  <si>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</si>
  <si>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</si>
  <si>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</si>
  <si>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</si>
  <si>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</si>
  <si>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</si>
  <si>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</si>
  <si>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</si>
  <si>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</si>
  <si>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</si>
  <si>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</si>
  <si>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</si>
  <si>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</si>
  <si>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</si>
  <si>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</si>
  <si>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</si>
  <si>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</si>
  <si>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</si>
  <si>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</si>
  <si>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</si>
  <si>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</si>
  <si>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</si>
  <si>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</si>
  <si>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</si>
  <si>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</si>
  <si>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</si>
  <si>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</si>
  <si>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</si>
  <si>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</si>
  <si>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</si>
  <si>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</si>
  <si>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</si>
  <si>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</si>
  <si>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</si>
  <si>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</si>
  <si>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</si>
  <si>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</si>
  <si>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</si>
  <si>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</si>
  <si>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</si>
  <si>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</si>
  <si>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</si>
  <si>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</si>
  <si>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</si>
  <si>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</si>
  <si>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</si>
  <si>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</si>
  <si>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</si>
  <si>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</si>
  <si>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</si>
  <si>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</si>
  <si>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</si>
  <si>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</si>
  <si>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</si>
  <si>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</si>
  <si>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</si>
  <si>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</si>
  <si>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</si>
  <si>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</si>
  <si>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</si>
  <si>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</si>
  <si>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</si>
  <si>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</si>
  <si>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</si>
  <si>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</si>
  <si>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</si>
  <si>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</si>
  <si>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</si>
  <si>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</si>
  <si>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</si>
  <si>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</si>
  <si>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</si>
  <si>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</si>
  <si>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</si>
  <si>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</si>
  <si>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</si>
  <si>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</si>
  <si>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</si>
  <si>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</si>
  <si>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</si>
  <si>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</si>
  <si>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</si>
  <si>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</si>
  <si>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</si>
  <si>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</si>
  <si>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</si>
  <si>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</si>
  <si>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</si>
  <si>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</si>
  <si>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</si>
  <si>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</si>
  <si>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</si>
  <si>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</si>
  <si>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</si>
  <si>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</si>
  <si>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</si>
  <si>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</si>
  <si>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</si>
  <si>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</si>
  <si>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</si>
  <si>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</si>
  <si>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</si>
  <si>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</si>
  <si>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</si>
  <si>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</si>
  <si>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</si>
  <si>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</si>
  <si>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</si>
  <si>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</si>
  <si>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</si>
  <si>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</si>
  <si>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</si>
  <si>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</si>
  <si>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</si>
  <si>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</si>
  <si>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</si>
  <si>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</si>
  <si>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</si>
  <si>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</si>
  <si>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</si>
  <si>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</si>
  <si>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</si>
  <si>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</si>
  <si>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</si>
  <si>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</si>
  <si>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</si>
  <si>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</si>
  <si>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</si>
  <si>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</si>
  <si>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</si>
  <si>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</si>
  <si>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</si>
  <si>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</si>
  <si>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</si>
  <si>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</si>
  <si>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</si>
  <si>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</si>
  <si>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</si>
  <si>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</si>
  <si>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</si>
  <si>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</si>
  <si>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</si>
  <si>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</si>
  <si>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</si>
  <si>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</si>
  <si>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</si>
  <si>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</si>
  <si>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</si>
  <si>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</si>
  <si>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</si>
  <si>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</si>
  <si>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</si>
  <si>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</si>
  <si>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</si>
  <si>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</si>
  <si>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</si>
  <si>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</si>
  <si>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</si>
  <si>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</si>
  <si>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</si>
  <si>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</si>
  <si>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</si>
  <si>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</si>
  <si>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</si>
  <si>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</si>
  <si>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</si>
  <si>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</si>
  <si>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</si>
  <si>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</si>
  <si>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</si>
  <si>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</si>
  <si>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</si>
  <si>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</si>
  <si>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</si>
  <si>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</si>
  <si>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</si>
  <si>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</si>
  <si>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</si>
  <si>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</si>
  <si>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</si>
  <si>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</si>
  <si>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</si>
  <si>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</si>
  <si>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</si>
  <si>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</si>
  <si>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</si>
  <si>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</si>
  <si>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</si>
  <si>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</si>
  <si>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</si>
  <si>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</si>
  <si>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</si>
  <si>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</si>
  <si>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</si>
  <si>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</si>
  <si>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</si>
  <si>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</si>
  <si>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</si>
  <si>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</si>
  <si>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</si>
  <si>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</si>
  <si>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</si>
  <si>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</si>
  <si>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</si>
  <si>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</si>
  <si>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</si>
  <si>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</si>
  <si>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</si>
  <si>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</si>
  <si>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</si>
  <si>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</si>
  <si>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</si>
  <si>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</si>
  <si>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</si>
  <si>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</si>
  <si>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</si>
  <si>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</si>
  <si>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</si>
  <si>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</si>
  <si>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</si>
  <si>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</si>
  <si>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</si>
  <si>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</si>
  <si>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</si>
  <si>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</si>
  <si>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</si>
  <si>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</si>
  <si>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</si>
  <si>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</si>
  <si>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</si>
  <si>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</si>
  <si>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</si>
  <si>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</si>
  <si>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</si>
  <si>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</si>
  <si>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</si>
  <si>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</si>
  <si>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</si>
  <si>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</si>
  <si>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</si>
  <si>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</si>
  <si>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</si>
  <si>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</si>
  <si>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</si>
  <si>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</si>
  <si>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</si>
  <si>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</si>
  <si>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</si>
  <si>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</si>
  <si>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</si>
  <si>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</si>
  <si>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</si>
  <si>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</si>
  <si>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</si>
  <si>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</si>
  <si>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</si>
  <si>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</si>
  <si>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</si>
  <si>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</si>
  <si>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</si>
  <si>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</si>
  <si>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</si>
  <si>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</si>
  <si>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</si>
  <si>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</si>
  <si>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</si>
  <si>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</si>
  <si>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</si>
  <si>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</si>
  <si>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</si>
  <si>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</si>
  <si>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</si>
  <si>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</si>
  <si>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</si>
  <si>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</si>
  <si>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</si>
  <si>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</si>
  <si>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</si>
  <si>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</si>
  <si>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</si>
  <si>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</si>
  <si>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</si>
  <si>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</si>
  <si>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</si>
  <si>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</si>
  <si>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</si>
  <si>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</si>
  <si>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</si>
  <si>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</si>
  <si>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</si>
  <si>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</si>
  <si>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</si>
  <si>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</si>
  <si>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</si>
  <si>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</si>
  <si>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</si>
  <si>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</si>
  <si>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</si>
  <si>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</si>
  <si>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</si>
  <si>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</si>
  <si>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</si>
  <si>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</si>
  <si>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</si>
  <si>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</si>
  <si>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</si>
  <si>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</si>
  <si>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</si>
  <si>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</si>
  <si>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</si>
  <si>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</si>
  <si>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</si>
  <si>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</si>
  <si>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</si>
  <si>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</si>
  <si>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</si>
  <si>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</si>
  <si>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</si>
  <si>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</si>
  <si>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</si>
  <si>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</si>
  <si>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</si>
  <si>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</si>
  <si>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</si>
  <si>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</si>
  <si>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</si>
  <si>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</si>
  <si>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</si>
  <si>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</si>
  <si>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</si>
  <si>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</si>
  <si>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</si>
  <si>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</si>
  <si>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</si>
  <si>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</si>
  <si>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</si>
  <si>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</si>
  <si>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</si>
  <si>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</si>
  <si>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</si>
  <si>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</si>
  <si>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</si>
  <si>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</si>
  <si>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</si>
  <si>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</si>
  <si>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</si>
  <si>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</si>
  <si>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</si>
  <si>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</si>
  <si>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</si>
  <si>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</si>
  <si>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</si>
  <si>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</si>
  <si>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</si>
  <si>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</si>
  <si>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</si>
  <si>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</si>
  <si>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</si>
  <si>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</si>
  <si>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</si>
  <si>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</si>
  <si>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</si>
  <si>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</si>
  <si>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</si>
  <si>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</si>
  <si>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</si>
  <si>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</si>
  <si>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</si>
  <si>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</si>
  <si>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</si>
  <si>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</si>
  <si>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</si>
  <si>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</si>
  <si>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</si>
  <si>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</si>
  <si>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</si>
  <si>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</si>
  <si>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</si>
  <si>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</si>
  <si>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</si>
  <si>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</si>
  <si>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</si>
  <si>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</si>
  <si>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</si>
  <si>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</si>
  <si>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</si>
  <si>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</si>
  <si>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</si>
  <si>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</si>
  <si>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</si>
  <si>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</si>
  <si>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</si>
  <si>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</si>
  <si>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</si>
  <si>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</si>
  <si>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</si>
  <si>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</si>
  <si>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</si>
  <si>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</si>
  <si>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</si>
  <si>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</si>
  <si>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</si>
  <si>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</si>
  <si>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</si>
  <si>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</si>
  <si>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</si>
  <si>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</si>
  <si>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</si>
  <si>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</si>
  <si>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</si>
  <si>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</si>
  <si>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</si>
  <si>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</si>
  <si>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</si>
  <si>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</si>
  <si>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</si>
  <si>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</si>
  <si>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</si>
  <si>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</si>
  <si>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</si>
  <si>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</si>
  <si>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</si>
  <si>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</si>
  <si>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</si>
  <si>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</si>
  <si>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</si>
  <si>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</si>
  <si>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</si>
  <si>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</si>
  <si>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</si>
  <si>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</si>
  <si>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</si>
  <si>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</si>
  <si>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</si>
  <si>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</si>
  <si>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</si>
  <si>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</si>
  <si>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</si>
  <si>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</si>
  <si>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</si>
  <si>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</si>
  <si>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</si>
  <si>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</si>
  <si>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</si>
  <si>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</si>
  <si>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</si>
  <si>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</si>
  <si>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</si>
  <si>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</si>
  <si>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</si>
  <si>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</si>
  <si>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</si>
  <si>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</si>
  <si>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</si>
  <si>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</si>
  <si>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</si>
  <si>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</si>
  <si>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</si>
  <si>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</si>
  <si>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</si>
  <si>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</si>
  <si>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</si>
  <si>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</si>
  <si>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</si>
  <si>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</si>
  <si>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</si>
  <si>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</si>
  <si>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</si>
  <si>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</si>
  <si>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</si>
  <si>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</si>
  <si>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</si>
  <si>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</si>
  <si>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</si>
  <si>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</si>
  <si>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</si>
  <si>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</si>
  <si>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</si>
  <si>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</si>
  <si>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</si>
  <si>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</si>
  <si>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</si>
  <si>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</si>
  <si>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</si>
  <si>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</si>
  <si>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</si>
  <si>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</si>
  <si>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</si>
  <si>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</si>
  <si>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</si>
  <si>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</si>
  <si>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</si>
  <si>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</si>
  <si>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</si>
  <si>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</si>
  <si>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</si>
  <si>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</si>
  <si>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</si>
  <si>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</si>
  <si>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</si>
  <si>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</si>
  <si>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</si>
  <si>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</si>
  <si>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</si>
  <si>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</si>
  <si>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</si>
  <si>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</si>
  <si>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</si>
  <si>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</si>
  <si>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</si>
  <si>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</si>
  <si>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</si>
  <si>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</si>
  <si>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</si>
  <si>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</si>
  <si>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</si>
  <si>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</si>
  <si>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</si>
  <si>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</si>
  <si>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</si>
  <si>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</si>
  <si>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</si>
  <si>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</si>
  <si>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</si>
  <si>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</si>
  <si>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</si>
  <si>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</si>
  <si>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</si>
  <si>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</si>
  <si>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</si>
  <si>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</si>
  <si>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</si>
  <si>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</si>
  <si>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</si>
  <si>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</si>
  <si>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</si>
  <si>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</si>
  <si>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</si>
  <si>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</si>
  <si>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</si>
  <si>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</si>
  <si>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</si>
  <si>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</si>
  <si>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</si>
  <si>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</si>
  <si>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</si>
  <si>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</si>
  <si>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</si>
  <si>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</si>
  <si>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</si>
  <si>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</si>
  <si>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</si>
  <si>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</si>
  <si>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</si>
  <si>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</si>
  <si>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</si>
  <si>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</si>
  <si>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</si>
  <si>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</si>
  <si>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</si>
  <si>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</si>
  <si>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</si>
  <si>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</si>
  <si>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</si>
  <si>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</si>
  <si>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</si>
  <si>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</si>
  <si>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</si>
  <si>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</si>
  <si>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</si>
  <si>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</si>
  <si>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</si>
  <si>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</si>
  <si>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</si>
  <si>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</si>
  <si>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</si>
  <si>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</si>
  <si>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</si>
  <si>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</si>
  <si>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</si>
  <si>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</si>
  <si>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</si>
  <si>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</si>
  <si>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</si>
  <si>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</si>
  <si>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</si>
  <si>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</si>
  <si>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</si>
  <si>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</si>
  <si>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</si>
  <si>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</si>
  <si>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</si>
  <si>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</si>
  <si>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</si>
  <si>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</si>
  <si>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</si>
  <si>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</si>
  <si>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</si>
  <si>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</si>
  <si>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</si>
  <si>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</si>
  <si>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</si>
  <si>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</si>
  <si>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</si>
  <si>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</si>
  <si>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</si>
  <si>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</si>
  <si>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</si>
  <si>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</si>
  <si>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</si>
  <si>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</si>
  <si>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</si>
  <si>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</si>
  <si>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</si>
  <si>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</si>
  <si>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</si>
  <si>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</si>
  <si>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</si>
  <si>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</si>
  <si>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</si>
  <si>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</si>
  <si>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</si>
  <si>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</si>
  <si>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</si>
  <si>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</si>
  <si>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</si>
  <si>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</si>
  <si>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</si>
  <si>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</si>
  <si>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</si>
  <si>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</si>
  <si>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</si>
  <si>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</si>
  <si>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</si>
  <si>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</si>
  <si>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</si>
  <si>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</si>
  <si>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</si>
  <si>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</si>
  <si>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</si>
  <si>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</si>
  <si>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</si>
  <si>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</si>
  <si>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</si>
  <si>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</si>
  <si>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</si>
  <si>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</si>
  <si>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</si>
  <si>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</si>
  <si>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</si>
  <si>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</si>
  <si>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</si>
  <si>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</si>
  <si>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</si>
  <si>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</si>
  <si>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</si>
  <si>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</si>
  <si>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</si>
  <si>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</si>
  <si>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</si>
  <si>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</si>
  <si>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</si>
  <si>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</si>
  <si>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</si>
  <si>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</si>
  <si>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</si>
  <si>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</si>
  <si>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</si>
  <si>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</si>
  <si>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</si>
  <si>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</si>
  <si>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</si>
  <si>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</si>
  <si>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</si>
  <si>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</si>
  <si>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</si>
  <si>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</si>
  <si>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</si>
  <si>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</si>
  <si>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</si>
  <si>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</si>
  <si>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</si>
  <si>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</si>
  <si>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</si>
  <si>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</si>
  <si>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</si>
  <si>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</si>
  <si>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</si>
  <si>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</si>
  <si>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</si>
  <si>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</si>
  <si>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</si>
  <si>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</si>
  <si>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</si>
  <si>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</si>
  <si>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</si>
  <si>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</si>
  <si>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</si>
  <si>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</si>
  <si>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</si>
  <si>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</si>
  <si>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</si>
  <si>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</si>
  <si>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</si>
  <si>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</si>
  <si>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</si>
  <si>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</si>
  <si>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</si>
  <si>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</si>
  <si>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</si>
  <si>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</si>
  <si>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</si>
  <si>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</si>
  <si>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</si>
  <si>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</si>
  <si>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</si>
  <si>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</si>
  <si>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</si>
  <si>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</si>
  <si>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</si>
  <si>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</si>
  <si>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</si>
  <si>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</si>
  <si>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</si>
  <si>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</si>
  <si>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</si>
  <si>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</si>
  <si>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</si>
  <si>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</si>
  <si>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</si>
  <si>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</si>
  <si>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</si>
  <si>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</si>
  <si>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</si>
  <si>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</si>
  <si>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</si>
  <si>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</si>
  <si>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</si>
  <si>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</si>
  <si>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</si>
  <si>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</si>
  <si>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</si>
  <si>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</si>
  <si>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</si>
  <si>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</si>
  <si>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</si>
  <si>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</si>
  <si>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</si>
  <si>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</si>
  <si>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</si>
  <si>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</si>
  <si>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</si>
  <si>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</si>
  <si>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</si>
  <si>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</si>
  <si>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</si>
  <si>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</si>
  <si>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</si>
  <si>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</si>
  <si>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</si>
  <si>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</si>
  <si>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</si>
  <si>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</si>
  <si>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</si>
  <si>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</si>
  <si>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</si>
  <si>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</si>
  <si>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</si>
  <si>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</si>
  <si>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</si>
  <si>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</si>
  <si>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</si>
  <si>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</si>
  <si>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</si>
  <si>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</si>
  <si>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</si>
  <si>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</si>
  <si>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</si>
  <si>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</si>
  <si>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</si>
  <si>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</si>
  <si>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</si>
  <si>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</si>
  <si>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</si>
  <si>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</si>
  <si>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</si>
  <si>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</si>
  <si>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</si>
  <si>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</si>
  <si>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</si>
  <si>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</si>
  <si>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</si>
  <si>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</si>
  <si>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</si>
  <si>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</si>
  <si>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</si>
  <si>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</si>
  <si>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</si>
  <si>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</si>
  <si>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</si>
  <si>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</si>
  <si>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</si>
  <si>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</si>
  <si>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</si>
  <si>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</si>
  <si>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</si>
  <si>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</si>
  <si>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</si>
  <si>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</si>
  <si>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</si>
  <si>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</si>
  <si>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</si>
  <si>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</si>
  <si>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</si>
  <si>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</si>
  <si>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</si>
  <si>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</si>
  <si>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</si>
  <si>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</si>
  <si>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</si>
  <si>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</si>
  <si>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</si>
  <si>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</si>
  <si>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</si>
  <si>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</si>
  <si>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</si>
  <si>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</si>
  <si>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</si>
  <si>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</si>
  <si>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</si>
  <si>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</si>
  <si>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</si>
  <si>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</si>
  <si>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</si>
  <si>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</si>
  <si>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</si>
  <si>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</si>
  <si>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</si>
  <si>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</si>
  <si>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</si>
  <si>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</si>
  <si>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</si>
  <si>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</si>
  <si>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</si>
  <si>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</si>
  <si>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</si>
  <si>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</si>
  <si>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</si>
  <si>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</si>
  <si>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</si>
  <si>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</si>
  <si>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</si>
  <si>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</si>
  <si>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</si>
  <si>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</si>
  <si>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</si>
  <si>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</si>
  <si>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</si>
  <si>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</si>
  <si>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</si>
  <si>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</si>
  <si>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</si>
  <si>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</si>
  <si>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</si>
  <si>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</si>
  <si>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</si>
  <si>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</si>
  <si>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</si>
  <si>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</si>
  <si>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</si>
  <si>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</si>
  <si>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</si>
  <si>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</si>
  <si>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</si>
  <si>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</si>
  <si>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</si>
  <si>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</si>
  <si>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</si>
  <si>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</si>
  <si>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</si>
  <si>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</si>
  <si>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</si>
  <si>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</si>
  <si>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</si>
  <si>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</si>
  <si>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</si>
  <si>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</si>
  <si>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</si>
  <si>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</si>
  <si>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</si>
  <si>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</si>
  <si>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</si>
  <si>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</si>
  <si>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</si>
  <si>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</si>
  <si>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</si>
  <si>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</si>
  <si>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</si>
  <si>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</si>
  <si>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</si>
  <si>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</si>
  <si>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</si>
  <si>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</si>
  <si>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</si>
  <si>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</si>
  <si>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</si>
  <si>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</si>
  <si>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</si>
  <si>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</si>
  <si>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</si>
  <si>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</si>
  <si>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</si>
  <si>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</si>
  <si>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</si>
  <si>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</si>
  <si>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</si>
  <si>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</si>
  <si>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</si>
  <si>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</si>
  <si>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</si>
  <si>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</si>
  <si>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</si>
  <si>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</si>
  <si>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</si>
  <si>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</si>
  <si>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</si>
  <si>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</si>
  <si>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</si>
  <si>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</si>
  <si>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</si>
  <si>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</si>
  <si>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</si>
  <si>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</si>
  <si>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</si>
  <si>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</si>
  <si>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</si>
  <si>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</si>
  <si>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</si>
  <si>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</si>
  <si>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</si>
  <si>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</si>
  <si>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</si>
  <si>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</si>
  <si>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</si>
  <si>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</si>
  <si>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</si>
  <si>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</si>
  <si>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</si>
  <si>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</si>
  <si>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</si>
  <si>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</si>
  <si>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</si>
  <si>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</si>
  <si>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</si>
  <si>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</si>
  <si>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</si>
  <si>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</si>
  <si>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</si>
  <si>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</si>
  <si>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</si>
  <si>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</si>
  <si>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</si>
  <si>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</si>
  <si>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</si>
  <si>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</si>
  <si>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</si>
  <si>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</si>
  <si>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</si>
  <si>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</si>
  <si>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</si>
  <si>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</si>
  <si>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</si>
  <si>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</si>
  <si>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</si>
  <si>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</si>
  <si>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</si>
  <si>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</si>
  <si>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</si>
  <si>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</si>
  <si>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</si>
  <si>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</si>
  <si>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</si>
  <si>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</si>
  <si>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</si>
  <si>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</si>
  <si>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</si>
  <si>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</si>
  <si>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</si>
  <si>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</si>
  <si>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</si>
  <si>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</si>
  <si>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</si>
  <si>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</si>
  <si>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</si>
  <si>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</si>
  <si>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</si>
  <si>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</si>
  <si>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</si>
  <si>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</si>
  <si>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</si>
  <si>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</si>
  <si>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</si>
  <si>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</si>
  <si>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</si>
  <si>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</si>
  <si>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</si>
  <si>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</si>
  <si>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</si>
  <si>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</si>
  <si>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</si>
  <si>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</si>
  <si>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</si>
  <si>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</si>
  <si>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</si>
  <si>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</si>
  <si>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</si>
  <si>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</si>
  <si>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</si>
  <si>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</si>
  <si>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</si>
  <si>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</si>
  <si>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</si>
  <si>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</si>
  <si>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</si>
  <si>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</si>
  <si>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</si>
  <si>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</si>
  <si>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</si>
  <si>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</si>
  <si>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</si>
  <si>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</si>
  <si>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</si>
  <si>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</si>
  <si>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</si>
  <si>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</si>
  <si>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</si>
  <si>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</si>
  <si>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</si>
  <si>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</si>
  <si>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</si>
  <si>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</si>
  <si>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</si>
  <si>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</si>
  <si>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</si>
  <si>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</si>
  <si>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</si>
  <si>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</si>
  <si>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</si>
  <si>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</si>
  <si>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</si>
  <si>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</si>
  <si>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</si>
  <si>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</si>
  <si>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</si>
  <si>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</si>
  <si>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</si>
  <si>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</si>
  <si>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</si>
  <si>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</si>
  <si>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</si>
  <si>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</si>
  <si>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</si>
  <si>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</si>
  <si>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</si>
  <si>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</si>
  <si>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</si>
  <si>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</si>
  <si>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</si>
  <si>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</si>
  <si>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</si>
  <si>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</si>
  <si>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</si>
  <si>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</si>
  <si>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</si>
  <si>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</si>
  <si>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</si>
  <si>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</si>
  <si>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</si>
  <si>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</si>
  <si>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</si>
  <si>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</si>
  <si>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</si>
  <si>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</si>
  <si>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</si>
  <si>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</si>
  <si>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</si>
  <si>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</si>
  <si>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</si>
  <si>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</si>
  <si>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</si>
  <si>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</si>
  <si>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</si>
  <si>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</si>
  <si>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</si>
  <si>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</si>
  <si>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</si>
  <si>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</si>
  <si>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</si>
  <si>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</si>
  <si>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</si>
  <si>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</si>
  <si>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</si>
  <si>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</si>
  <si>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</si>
  <si>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</si>
  <si>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</si>
  <si>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</si>
  <si>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</si>
  <si>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</si>
  <si>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</si>
  <si>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</si>
  <si>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</si>
  <si>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</si>
  <si>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</si>
  <si>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</si>
  <si>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</si>
  <si>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</si>
  <si>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</si>
  <si>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</si>
  <si>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</si>
  <si>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</si>
  <si>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</si>
  <si>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</si>
  <si>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</si>
  <si>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</si>
  <si>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</si>
  <si>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</si>
  <si>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</si>
  <si>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</si>
  <si>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</si>
  <si>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</si>
  <si>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</si>
  <si>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</si>
  <si>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</si>
  <si>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</si>
  <si>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</si>
  <si>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</si>
  <si>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</si>
  <si>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</si>
  <si>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</si>
  <si>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</si>
  <si>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</si>
  <si>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</si>
  <si>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</si>
  <si>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</si>
  <si>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</si>
  <si>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</si>
  <si>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</si>
  <si>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</si>
  <si>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</si>
  <si>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</si>
  <si>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</si>
  <si>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</si>
  <si>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</si>
  <si>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</si>
  <si>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</si>
  <si>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</si>
  <si>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</si>
  <si>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</si>
  <si>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</si>
  <si>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</si>
  <si>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</si>
  <si>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</si>
  <si>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</si>
  <si>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</si>
  <si>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</si>
  <si>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</si>
  <si>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</si>
  <si>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</si>
  <si>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</si>
  <si>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</si>
  <si>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</si>
  <si>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</si>
  <si>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</si>
  <si>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</si>
  <si>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</si>
  <si>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</si>
  <si>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</si>
  <si>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</si>
  <si>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</si>
  <si>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</si>
  <si>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</si>
  <si>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</si>
  <si>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</si>
  <si>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</si>
  <si>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</si>
  <si>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</si>
  <si>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</si>
  <si>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</si>
  <si>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</si>
  <si>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</si>
  <si>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</si>
  <si>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</si>
  <si>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</si>
  <si>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</si>
  <si>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</si>
  <si>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</si>
  <si>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</si>
  <si>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</si>
  <si>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</si>
  <si>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</si>
  <si>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</si>
  <si>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</si>
  <si>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</si>
  <si>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</si>
  <si>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</si>
  <si>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</si>
  <si>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</si>
  <si>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</si>
  <si>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</si>
  <si>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</si>
  <si>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</si>
  <si>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</si>
  <si>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</si>
  <si>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</si>
  <si>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</si>
  <si>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</si>
  <si>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</si>
  <si>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</si>
  <si>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</si>
  <si>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</si>
  <si>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</si>
  <si>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</si>
  <si>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</si>
  <si>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</si>
  <si>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</si>
  <si>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</si>
  <si>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</si>
  <si>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</si>
  <si>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</si>
  <si>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</si>
  <si>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</si>
  <si>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</si>
  <si>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</si>
  <si>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</si>
  <si>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</si>
  <si>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</si>
  <si>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</si>
  <si>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</si>
  <si>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</si>
  <si>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</si>
  <si>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</si>
  <si>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</si>
  <si>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</si>
  <si>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</si>
  <si>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</si>
  <si>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</si>
  <si>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</si>
  <si>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</si>
  <si>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</si>
  <si>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</si>
  <si>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</si>
  <si>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</si>
  <si>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</si>
  <si>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</si>
  <si>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</si>
  <si>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</si>
  <si>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</si>
  <si>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</si>
  <si>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</si>
  <si>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</si>
  <si>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</si>
  <si>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</si>
  <si>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</si>
  <si>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</si>
  <si>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</si>
  <si>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</si>
  <si>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</si>
  <si>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</si>
  <si>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</si>
  <si>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Not Applicable</t>
  </si>
  <si>
    <t>Kingdom Development, Inc.</t>
  </si>
  <si>
    <t>525 Water Street</t>
  </si>
  <si>
    <t>City of Santa Cruz Redevelopment Agency</t>
  </si>
  <si>
    <t>Ms. Bonnie Lopscomb</t>
  </si>
  <si>
    <t>Executive Director</t>
  </si>
  <si>
    <t>337 Locust Street</t>
  </si>
  <si>
    <t>blipscomb@ci.santa-cruz.ca.us</t>
  </si>
  <si>
    <t>008-332-10; 008-332-35</t>
  </si>
  <si>
    <t>40%/60%</t>
  </si>
  <si>
    <t>6451 Box Springs Blvd.</t>
  </si>
  <si>
    <t>CA</t>
  </si>
  <si>
    <t>William Leach</t>
  </si>
  <si>
    <t>william@kingdomdevelopment.net</t>
  </si>
  <si>
    <t>Zen Development LLC</t>
  </si>
  <si>
    <t>Administrative GP</t>
  </si>
  <si>
    <t>222 Redwood Dr.</t>
  </si>
  <si>
    <t>Woodacre</t>
  </si>
  <si>
    <t>Zen Sawyer</t>
  </si>
  <si>
    <t>zen@zendevelopment.org</t>
  </si>
  <si>
    <t>Kingdom AN, LLC</t>
  </si>
  <si>
    <t>Managing GP</t>
  </si>
  <si>
    <t>Kingdom Development, Inc</t>
  </si>
  <si>
    <t>William@kingdomdevelopment.org</t>
  </si>
  <si>
    <t>Consultant</t>
  </si>
  <si>
    <t>222 Redwood Drive</t>
  </si>
  <si>
    <t>Woodacre, CA 94973</t>
  </si>
  <si>
    <t>Zen@zendevelopment.org</t>
  </si>
  <si>
    <t>Hochhauser Blatter Architecture and Planning</t>
  </si>
  <si>
    <t>122 E Arrallaga Street</t>
  </si>
  <si>
    <t>Santa Barbara, CA 93101</t>
  </si>
  <si>
    <t>Jan Hockhauser</t>
  </si>
  <si>
    <t>jan@hbarchitects.com</t>
  </si>
  <si>
    <t>Goldfarb &amp; Lipman Attorneys</t>
  </si>
  <si>
    <t>1300 Clay St., 11th Floor</t>
  </si>
  <si>
    <t>Oakland, CA 94612</t>
  </si>
  <si>
    <t>Robert C. Mills</t>
  </si>
  <si>
    <t>rmills@goldfarblipman.com</t>
  </si>
  <si>
    <t>Kingdom Development Inc</t>
  </si>
  <si>
    <t>6451 Box Springs Blvd</t>
  </si>
  <si>
    <t>Riverside, CA 92508</t>
  </si>
  <si>
    <t>The John Stewart Company</t>
  </si>
  <si>
    <t>104 Whispering Pines Dr, St 200</t>
  </si>
  <si>
    <t>Scotts Valley, CA 95066</t>
  </si>
  <si>
    <t>Tracy Esposito</t>
  </si>
  <si>
    <t>tesposito@jsco.net</t>
  </si>
  <si>
    <t>Gary Marietti Revocable Trust</t>
  </si>
  <si>
    <t>Gary Marietti</t>
  </si>
  <si>
    <t xml:space="preserve">128 English Drive, Santa Cruz, CA </t>
  </si>
  <si>
    <t>Other (Specify below)</t>
  </si>
  <si>
    <t>CC (Community Commercial)</t>
  </si>
  <si>
    <t>CREA</t>
  </si>
  <si>
    <t>Fixed</t>
  </si>
  <si>
    <t xml:space="preserve">325 E. Hillcrest Dr., Suite 160	</t>
  </si>
  <si>
    <t xml:space="preserve">Thousand Oaks, CA 91361	</t>
  </si>
  <si>
    <t xml:space="preserve">Matt Knipprath	</t>
  </si>
  <si>
    <t>2020 W. El Camino Ave., Suite 200</t>
  </si>
  <si>
    <t xml:space="preserve">Sacramento, CA 94252	</t>
  </si>
  <si>
    <t xml:space="preserve">Joe Harney	</t>
  </si>
  <si>
    <t xml:space="preserve">Woodacre, CA 94973	</t>
  </si>
  <si>
    <t xml:space="preserve">Deferred Developer Fee	</t>
  </si>
  <si>
    <t>Thousand Oaks, CA 91361</t>
  </si>
  <si>
    <t xml:space="preserve">2020 W. El Camino Ave., Suite 200	</t>
  </si>
  <si>
    <t>County of Santa Cruz</t>
  </si>
  <si>
    <t>Project Based Vouchers</t>
  </si>
  <si>
    <t>Other: Utility Hookups</t>
  </si>
  <si>
    <t>1 bedroom</t>
  </si>
  <si>
    <t>2 bedroom</t>
  </si>
  <si>
    <t>3 bedroom</t>
  </si>
  <si>
    <t>4 bedroom</t>
  </si>
  <si>
    <t>PBV's</t>
  </si>
  <si>
    <t>May</t>
  </si>
  <si>
    <t>President</t>
  </si>
  <si>
    <t>2111 Palomar Airport Rd., Suite 320</t>
  </si>
  <si>
    <t>Carlsbad, CA 92011</t>
  </si>
  <si>
    <t>John P. Stoecker</t>
  </si>
  <si>
    <t>jstoecker@cmfa-ca.com</t>
  </si>
  <si>
    <t>Novogradac</t>
  </si>
  <si>
    <t>6700 Antioch Rd, Suite 450</t>
  </si>
  <si>
    <t>Merriam, Kansas 66204</t>
  </si>
  <si>
    <t>Rachel B. Denton</t>
  </si>
  <si>
    <t>Rachel.Denton@novoco.com</t>
  </si>
  <si>
    <t>The project consists of one 5-story building with an elevator.</t>
  </si>
  <si>
    <t xml:space="preserve">12396 World Trade Dr., Suite 307											</t>
  </si>
  <si>
    <t xml:space="preserve">San Diego, CA											</t>
  </si>
  <si>
    <t xml:space="preserve">Matt Marienthal											</t>
  </si>
  <si>
    <t>Project-based vouchers (PBVs)</t>
  </si>
  <si>
    <t>CalHFA</t>
  </si>
  <si>
    <t>Provided</t>
  </si>
  <si>
    <t>Housing Authority of the County of Santa Cruz</t>
  </si>
  <si>
    <t>Project-based contract (PBC)</t>
  </si>
  <si>
    <t>HCD-CDBG-DR MHP</t>
  </si>
  <si>
    <t>Citi Community Capital</t>
  </si>
  <si>
    <t>Bond Issuer Fees</t>
  </si>
  <si>
    <t>Fire Safety, Supplies, HVAC, Tools &amp; appliances</t>
  </si>
  <si>
    <t>Payroll Taxes, Employee Insurance, Workers Comp</t>
  </si>
  <si>
    <t>Employee Benefits</t>
  </si>
  <si>
    <t>Janitorial Supplies</t>
  </si>
  <si>
    <t>Office supplies, postage, expenses, copier, software licensing, toner</t>
  </si>
  <si>
    <t>Other: HCD Pooled Transition Reserve</t>
  </si>
  <si>
    <t>Trustee</t>
  </si>
  <si>
    <t>Multifamily</t>
  </si>
  <si>
    <t>73FT</t>
  </si>
  <si>
    <t>HCD-CDBG-DR</t>
  </si>
  <si>
    <t>1 space per studio and one-bedroom unit; 2 
spaces for units with 2 or more bedrooms</t>
  </si>
  <si>
    <t>23 units are reserved for Homeless Veteran Households</t>
  </si>
  <si>
    <t>9 units are reserved for Special Need persons with a disability</t>
  </si>
  <si>
    <t>Above residual receipts line for cash flow</t>
  </si>
  <si>
    <t>n/a</t>
  </si>
  <si>
    <t>CREA LLC</t>
  </si>
  <si>
    <t>Heather Gould</t>
  </si>
  <si>
    <t>hgould@goldfarblipman.com</t>
  </si>
  <si>
    <t>12396 World Trade Dr., Suite 307</t>
  </si>
  <si>
    <t>San Diego, CA 92128</t>
  </si>
  <si>
    <t>Matt Marienthal</t>
  </si>
  <si>
    <t>mmarienthl@creallc.com</t>
  </si>
  <si>
    <t>6700 Antich Rd., Suite 450</t>
  </si>
  <si>
    <t>Sara Nachbar</t>
  </si>
  <si>
    <t>sara.nachbar@novoco.com</t>
  </si>
  <si>
    <t>California Municipal Finance Authority</t>
  </si>
  <si>
    <t>Core Builders</t>
  </si>
  <si>
    <t>470 South Market St</t>
  </si>
  <si>
    <t>San Jose, CA 95113</t>
  </si>
  <si>
    <t>Scott Downes</t>
  </si>
  <si>
    <t>sdownes@corebuilders.com</t>
  </si>
  <si>
    <t>denisty 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</si>
</sst>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5" borderId="3" xfId="0" applyFill="1" applyBorder="1" applyAlignment="1" applyProtection="1">
      <alignment horizontal="left" wrapText="1"/>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 customHeight="1">
      <c r="A40" s="4"/>
      <c r="B40"/>
      <c r="C40" s="2"/>
      <c r="D40" s="4"/>
      <c r="E40" s="4" t="s">
        <v>652</v>
      </c>
      <c r="F40" s="1260" t="s">
        <v>1163</v>
      </c>
    </row>
    <row r="41" spans="1:38" s="1260" customFormat="1" ht="13.2"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508</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 customHeight="1">
      <c r="A67" s="4"/>
      <c r="C67" s="2"/>
      <c r="D67" s="4"/>
      <c r="E67" s="4"/>
      <c r="F67" t="s">
        <v>508</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465</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2"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2"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4" t="s">
        <v>1868</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3.2"/>
    <row r="4" spans="1:10" ht="12.75" customHeight="1">
      <c r="A4" s="1276" t="s">
        <v>2046</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0" t="s">
        <v>1873</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279" t="s">
        <v>1188</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1189</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1188</v>
      </c>
    </row>
    <row r="61" spans="1:10" ht="13.2"/>
    <row r="62" spans="1:10" ht="13.2"/>
    <row r="63" spans="1:10" ht="13.2"/>
    <row r="64" spans="1:10" ht="13.2"/>
    <row r="65" spans="1:9" ht="13.2"/>
    <row r="66" spans="1:9" ht="13.2"/>
    <row r="67" spans="1:9" ht="13.2"/>
    <row r="68" spans="1:9" ht="13.2"/>
    <row r="69" spans="1:9" ht="13.2"/>
    <row r="70" spans="1:9" ht="13.2"/>
    <row r="71" spans="1:9" ht="13.2">
      <c r="A71" s="1277" t="s">
        <v>1869</v>
      </c>
      <c r="B71" s="1277"/>
      <c r="C71" s="1277"/>
      <c r="D71" s="1277"/>
      <c r="E71" s="1277"/>
      <c r="F71" s="1277"/>
      <c r="G71" s="1277"/>
      <c r="H71" s="1277"/>
      <c r="I71" s="1277"/>
    </row>
    <row r="72" spans="1:9" ht="13.2">
      <c r="A72" s="1267" t="s">
        <v>2044</v>
      </c>
      <c r="B72" s="1267"/>
      <c r="C72" s="1267"/>
      <c r="D72" s="1267"/>
      <c r="E72" s="1267"/>
    </row>
    <row r="73" spans="1:9" ht="13.2">
      <c r="A73" s="1267" t="s">
        <v>2045</v>
      </c>
      <c r="B73" s="1267"/>
      <c r="C73" s="1267"/>
      <c r="D73" s="1267"/>
      <c r="E73" s="1267"/>
    </row>
    <row r="74" spans="1:9" ht="13.2">
      <c r="A74" s="1267" t="s">
        <v>1870</v>
      </c>
      <c r="B74" s="1267"/>
      <c r="C74" s="1267"/>
      <c r="D74" s="1267"/>
      <c r="E74" s="1267"/>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Normal="100" workbookViewId="0">
      <selection activeCell="D15" sqref="D15:F17"/>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1" t="s">
        <v>2458</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65"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ht="14.4">
      <c r="A15" s="484"/>
      <c r="B15" s="485" t="s">
        <v>2699</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4">
      <c r="A20" s="484"/>
      <c r="B20" s="485" t="s">
        <v>2699</v>
      </c>
      <c r="D20" s="1283" t="s">
        <v>1922</v>
      </c>
      <c r="E20" s="1283"/>
      <c r="F20" s="1283"/>
      <c r="I20" s="490"/>
    </row>
    <row r="21" spans="1:9" ht="14.4">
      <c r="A21" s="484"/>
      <c r="D21" s="1283"/>
      <c r="E21" s="1283"/>
      <c r="F21" s="1283"/>
      <c r="I21" s="490"/>
    </row>
    <row r="22" spans="1:9" ht="14.4">
      <c r="A22" s="484"/>
      <c r="D22" s="392"/>
      <c r="E22" s="96" t="s">
        <v>1918</v>
      </c>
      <c r="F22" s="392"/>
      <c r="I22" s="490"/>
    </row>
    <row r="23" spans="1:9" ht="14.4">
      <c r="A23" s="484"/>
      <c r="B23" s="484"/>
      <c r="D23" s="446"/>
      <c r="I23" s="490"/>
    </row>
    <row r="24" spans="1:9" ht="14.4">
      <c r="A24" s="484"/>
      <c r="B24" s="485" t="s">
        <v>2611</v>
      </c>
      <c r="D24" s="1283" t="s">
        <v>1090</v>
      </c>
      <c r="E24" s="1283"/>
      <c r="F24" s="1283"/>
      <c r="I24" s="490"/>
    </row>
    <row r="25" spans="1:9" ht="14.4">
      <c r="A25" s="484"/>
      <c r="B25" s="484"/>
      <c r="D25" s="1283"/>
      <c r="E25" s="1283"/>
      <c r="F25" s="1283"/>
      <c r="I25" s="490"/>
    </row>
    <row r="26" spans="1:9">
      <c r="I26" s="490"/>
    </row>
    <row r="27" spans="1:9" ht="14.4">
      <c r="A27" s="484"/>
      <c r="B27" s="485" t="s">
        <v>2611</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2611</v>
      </c>
      <c r="D33" s="1283" t="s">
        <v>2048</v>
      </c>
      <c r="E33" s="1283"/>
      <c r="F33" s="1283"/>
      <c r="I33" s="490"/>
    </row>
    <row r="34" spans="1:9">
      <c r="D34" s="1283"/>
      <c r="E34" s="1283"/>
      <c r="F34" s="1283"/>
      <c r="I34" s="490"/>
    </row>
    <row r="35" spans="1:9" ht="14.4">
      <c r="A35" s="484"/>
      <c r="B35" s="484"/>
      <c r="D35" s="447"/>
      <c r="I35" s="490"/>
    </row>
    <row r="36" spans="1:9" ht="14.4" customHeight="1">
      <c r="A36" s="484"/>
      <c r="B36" s="485" t="s">
        <v>2611</v>
      </c>
      <c r="D36" s="1283" t="s">
        <v>1213</v>
      </c>
      <c r="E36" s="1283"/>
      <c r="F36" s="1283"/>
      <c r="I36" s="490"/>
    </row>
    <row r="37" spans="1:9" ht="14.4">
      <c r="A37" s="484"/>
      <c r="B37" s="484"/>
      <c r="D37" s="1283"/>
      <c r="E37" s="1283"/>
      <c r="F37" s="1283"/>
      <c r="I37" s="490"/>
    </row>
    <row r="38" spans="1:9" ht="14.4">
      <c r="A38" s="484"/>
      <c r="B38" s="484"/>
      <c r="D38" s="1283"/>
      <c r="E38" s="1283"/>
      <c r="F38" s="1283"/>
      <c r="I38" s="490"/>
    </row>
    <row r="39" spans="1:9" ht="14.4">
      <c r="A39" s="484"/>
      <c r="B39" s="484"/>
      <c r="D39" s="1283"/>
      <c r="E39" s="1283"/>
      <c r="F39" s="1283"/>
      <c r="I39" s="490"/>
    </row>
    <row r="40" spans="1:9" ht="14.4">
      <c r="A40" s="484"/>
      <c r="B40" s="484"/>
      <c r="I40" s="490"/>
    </row>
    <row r="41" spans="1:9" ht="14.4">
      <c r="A41" s="484"/>
      <c r="B41" s="485" t="s">
        <v>2611</v>
      </c>
      <c r="D41" s="1283" t="s">
        <v>1091</v>
      </c>
      <c r="E41" s="1283"/>
      <c r="F41" s="1283"/>
      <c r="I41" s="490"/>
    </row>
    <row r="42" spans="1:9" ht="14.4">
      <c r="A42" s="484"/>
      <c r="B42" s="484"/>
      <c r="D42" s="1283"/>
      <c r="E42" s="1283"/>
      <c r="F42" s="1283"/>
      <c r="I42" s="490"/>
    </row>
    <row r="43" spans="1:9" ht="14.4">
      <c r="A43" s="484"/>
      <c r="B43" s="484"/>
      <c r="D43" s="1283"/>
      <c r="E43" s="1283"/>
      <c r="F43" s="1283"/>
      <c r="I43" s="490"/>
    </row>
    <row r="44" spans="1:9" ht="14.4">
      <c r="A44" s="484"/>
      <c r="B44" s="484"/>
      <c r="D44" s="1283"/>
      <c r="E44" s="1283"/>
      <c r="F44" s="1283"/>
      <c r="I44" s="490"/>
    </row>
    <row r="45" spans="1:9" ht="14.4">
      <c r="A45" s="484"/>
      <c r="B45" s="484"/>
      <c r="D45" s="1283"/>
      <c r="E45" s="1283"/>
      <c r="F45" s="1283"/>
      <c r="I45" s="490"/>
    </row>
    <row r="46" spans="1:9" ht="14.4">
      <c r="A46" s="484"/>
      <c r="B46" s="484"/>
      <c r="D46" s="445"/>
      <c r="E46" s="445"/>
      <c r="F46" s="445"/>
      <c r="I46" s="490"/>
    </row>
    <row r="47" spans="1:9" ht="14.4">
      <c r="A47" s="484"/>
      <c r="B47" s="485" t="s">
        <v>2611</v>
      </c>
      <c r="D47" s="1283" t="s">
        <v>1092</v>
      </c>
      <c r="E47" s="1283"/>
      <c r="F47" s="1283"/>
      <c r="I47" s="490"/>
    </row>
    <row r="48" spans="1:9" ht="14.4">
      <c r="A48" s="484"/>
      <c r="B48" s="484"/>
      <c r="D48" s="1283"/>
      <c r="E48" s="1283"/>
      <c r="F48" s="1283"/>
      <c r="I48" s="490"/>
    </row>
    <row r="49" spans="1:9" ht="14.4">
      <c r="A49" s="484"/>
      <c r="B49" s="484"/>
      <c r="D49" s="1283"/>
      <c r="E49" s="1283"/>
      <c r="F49" s="1283"/>
      <c r="I49" s="490"/>
    </row>
    <row r="50" spans="1:9" ht="23.25" customHeight="1">
      <c r="A50" s="484"/>
      <c r="B50" s="484"/>
      <c r="D50" s="1283"/>
      <c r="E50" s="1283"/>
      <c r="F50" s="1283"/>
      <c r="I50" s="490"/>
    </row>
    <row r="51" spans="1:9" ht="14.4">
      <c r="A51" s="484"/>
      <c r="B51" s="484"/>
      <c r="D51" s="446"/>
      <c r="I51" s="490"/>
    </row>
    <row r="52" spans="1:9" ht="14.4" customHeight="1">
      <c r="A52" s="484"/>
      <c r="B52" s="485" t="s">
        <v>2611</v>
      </c>
      <c r="D52" s="1283" t="s">
        <v>1093</v>
      </c>
      <c r="E52" s="1283"/>
      <c r="F52" s="1283"/>
      <c r="I52" s="490"/>
    </row>
    <row r="53" spans="1:9" ht="14.4">
      <c r="A53" s="484"/>
      <c r="B53" s="484"/>
      <c r="D53" s="1283"/>
      <c r="E53" s="1283"/>
      <c r="F53" s="1283"/>
      <c r="I53" s="490"/>
    </row>
    <row r="54" spans="1:9" ht="14.4">
      <c r="A54" s="484"/>
      <c r="B54" s="484"/>
      <c r="D54" s="1283"/>
      <c r="E54" s="1283"/>
      <c r="F54" s="1283"/>
      <c r="I54" s="490"/>
    </row>
    <row r="55" spans="1:9" ht="14.4">
      <c r="A55" s="484"/>
      <c r="B55" s="484"/>
      <c r="I55" s="490"/>
    </row>
    <row r="56" spans="1:9" ht="14.4">
      <c r="A56" s="484"/>
      <c r="B56" s="485" t="s">
        <v>2699</v>
      </c>
      <c r="D56" s="1307" t="s">
        <v>1094</v>
      </c>
      <c r="E56" s="1307"/>
      <c r="F56" s="1307"/>
      <c r="I56" s="490"/>
    </row>
    <row r="57" spans="1:9" ht="14.4">
      <c r="A57" s="484"/>
      <c r="B57" s="484"/>
      <c r="D57" s="1307"/>
      <c r="E57" s="1307"/>
      <c r="F57" s="1307"/>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2611</v>
      </c>
      <c r="D61" s="1283" t="s">
        <v>1095</v>
      </c>
      <c r="E61" s="1283"/>
      <c r="F61" s="1283"/>
      <c r="I61" s="490"/>
    </row>
    <row r="62" spans="1:9">
      <c r="D62" s="1283"/>
      <c r="E62" s="1283"/>
      <c r="F62" s="1283"/>
      <c r="I62" s="490"/>
    </row>
    <row r="63" spans="1:9">
      <c r="D63" s="1283"/>
      <c r="E63" s="1283"/>
      <c r="F63" s="1283"/>
      <c r="I63" s="490"/>
    </row>
    <row r="64" spans="1:9">
      <c r="I64" s="490"/>
    </row>
    <row r="65" spans="1:9" ht="14.4">
      <c r="A65" s="484"/>
      <c r="B65" s="485" t="s">
        <v>2611</v>
      </c>
      <c r="D65" s="1283" t="s">
        <v>1096</v>
      </c>
      <c r="E65" s="1283"/>
      <c r="F65" s="1283"/>
      <c r="I65" s="490"/>
    </row>
    <row r="66" spans="1:9">
      <c r="D66" s="1283"/>
      <c r="E66" s="1283"/>
      <c r="F66" s="1283"/>
      <c r="I66" s="490"/>
    </row>
    <row r="67" spans="1:9">
      <c r="I67" s="490"/>
    </row>
    <row r="68" spans="1:9" ht="14.4">
      <c r="A68" s="484"/>
      <c r="B68" s="485" t="s">
        <v>2699</v>
      </c>
      <c r="D68" s="1283" t="s">
        <v>1097</v>
      </c>
      <c r="E68" s="1283"/>
      <c r="F68" s="1283"/>
      <c r="I68" s="490"/>
    </row>
    <row r="69" spans="1:9">
      <c r="D69" s="1283"/>
      <c r="E69" s="1283"/>
      <c r="F69" s="1283"/>
      <c r="I69" s="490"/>
    </row>
    <row r="70" spans="1:9">
      <c r="D70" s="1283"/>
      <c r="E70" s="1283"/>
      <c r="F70" s="1283"/>
      <c r="I70" s="490"/>
    </row>
    <row r="71" spans="1:9">
      <c r="I71" s="490"/>
    </row>
    <row r="72" spans="1:9" ht="14.4">
      <c r="A72" s="484"/>
      <c r="B72" s="485" t="s">
        <v>2699</v>
      </c>
      <c r="D72" s="1283" t="s">
        <v>1098</v>
      </c>
      <c r="E72" s="1283"/>
      <c r="F72" s="1283"/>
      <c r="I72" s="490"/>
    </row>
    <row r="73" spans="1:9">
      <c r="D73" s="1283"/>
      <c r="E73" s="1283"/>
      <c r="F73" s="1283"/>
      <c r="I73" s="490"/>
    </row>
    <row r="74" spans="1:9" ht="14.4">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65" customHeight="1">
      <c r="A80" s="484"/>
      <c r="B80" s="485" t="s">
        <v>2699</v>
      </c>
      <c r="D80" s="1283" t="s">
        <v>1244</v>
      </c>
      <c r="E80" s="1283"/>
      <c r="F80" s="1283"/>
      <c r="I80" s="490"/>
    </row>
    <row r="81" spans="1:9" ht="14.4">
      <c r="A81" s="484"/>
      <c r="B81" s="484"/>
      <c r="D81" s="1283"/>
      <c r="E81" s="1283"/>
      <c r="F81" s="1283"/>
      <c r="I81" s="490"/>
    </row>
    <row r="82" spans="1:9" ht="14.4">
      <c r="A82" s="484"/>
      <c r="B82" s="484"/>
      <c r="D82" s="1283"/>
      <c r="E82" s="1283"/>
      <c r="F82" s="1283"/>
      <c r="I82" s="490"/>
    </row>
    <row r="83" spans="1:9" ht="14.4">
      <c r="A83" s="484"/>
      <c r="B83" s="484"/>
      <c r="D83" s="1283"/>
      <c r="E83" s="1283"/>
      <c r="F83" s="1283"/>
      <c r="I83" s="490"/>
    </row>
    <row r="84" spans="1:9" ht="14.4">
      <c r="A84" s="484"/>
      <c r="B84" s="484"/>
      <c r="D84" s="1283"/>
      <c r="E84" s="1283"/>
      <c r="F84" s="1283"/>
      <c r="I84" s="490"/>
    </row>
    <row r="85" spans="1:9" ht="14.4">
      <c r="A85" s="484"/>
      <c r="B85" s="484"/>
      <c r="D85" s="1283"/>
      <c r="E85" s="1283"/>
      <c r="F85" s="1283"/>
      <c r="I85" s="490"/>
    </row>
    <row r="86" spans="1:9" ht="14.4">
      <c r="A86" s="484"/>
      <c r="B86" s="484"/>
      <c r="D86" s="1283"/>
      <c r="E86" s="1283"/>
      <c r="F86" s="1283"/>
      <c r="I86" s="490"/>
    </row>
    <row r="87" spans="1:9" ht="14.4">
      <c r="A87" s="484"/>
      <c r="B87" s="484"/>
      <c r="D87" s="1283"/>
      <c r="E87" s="1283"/>
      <c r="F87" s="1283"/>
      <c r="I87" s="490"/>
    </row>
    <row r="88" spans="1:9" ht="14.4">
      <c r="A88" s="484"/>
      <c r="B88" s="484"/>
      <c r="D88" s="385"/>
      <c r="E88" s="385"/>
      <c r="F88" s="385"/>
      <c r="I88" s="490"/>
    </row>
    <row r="89" spans="1:9" ht="15" customHeight="1">
      <c r="A89" s="484"/>
      <c r="B89" s="485" t="s">
        <v>2699</v>
      </c>
      <c r="D89" s="1283" t="s">
        <v>1741</v>
      </c>
      <c r="E89" s="1283"/>
      <c r="F89" s="1283"/>
      <c r="I89" s="490"/>
    </row>
    <row r="90" spans="1:9" ht="14.4">
      <c r="A90" s="484"/>
      <c r="B90" s="484"/>
      <c r="D90" s="1283"/>
      <c r="E90" s="1283"/>
      <c r="F90" s="1283"/>
      <c r="I90" s="490"/>
    </row>
    <row r="91" spans="1:9" ht="14.4">
      <c r="A91" s="484"/>
      <c r="B91" s="484"/>
      <c r="D91" s="445"/>
      <c r="E91" s="445"/>
      <c r="F91" s="445"/>
      <c r="I91" s="490"/>
    </row>
    <row r="92" spans="1:9" ht="14.4">
      <c r="A92" s="484"/>
      <c r="B92" s="485" t="s">
        <v>2699</v>
      </c>
      <c r="D92" s="1283" t="s">
        <v>1744</v>
      </c>
      <c r="E92" s="1283"/>
      <c r="F92" s="1283"/>
      <c r="I92" s="490"/>
    </row>
    <row r="93" spans="1:9" ht="14.4">
      <c r="A93" s="484"/>
      <c r="B93" s="484"/>
      <c r="D93" s="1283"/>
      <c r="E93" s="1283"/>
      <c r="F93" s="1283"/>
      <c r="I93" s="490"/>
    </row>
    <row r="94" spans="1:9" ht="14.4">
      <c r="A94" s="484"/>
      <c r="B94" s="484"/>
      <c r="D94" s="1283"/>
      <c r="E94" s="1283"/>
      <c r="F94" s="1283"/>
      <c r="I94" s="490"/>
    </row>
    <row r="95" spans="1:9" ht="14.4">
      <c r="A95" s="484"/>
      <c r="B95" s="484"/>
      <c r="D95" s="445"/>
      <c r="E95" s="445"/>
      <c r="F95" s="445"/>
      <c r="I95" s="490"/>
    </row>
    <row r="96" spans="1:9" ht="14.4">
      <c r="A96" s="484"/>
      <c r="B96" s="485" t="s">
        <v>2699</v>
      </c>
      <c r="D96" s="1283" t="s">
        <v>1743</v>
      </c>
      <c r="E96" s="1283"/>
      <c r="F96" s="1283"/>
      <c r="I96" s="490"/>
    </row>
    <row r="97" spans="1:9" s="987" customFormat="1" ht="14.4">
      <c r="A97" s="985"/>
      <c r="B97" s="985"/>
      <c r="C97" s="986"/>
      <c r="D97" s="1283"/>
      <c r="E97" s="1283"/>
      <c r="F97" s="1283"/>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2611</v>
      </c>
      <c r="D100" s="1283" t="s">
        <v>1742</v>
      </c>
      <c r="E100" s="1283"/>
      <c r="F100" s="1283"/>
      <c r="I100" s="490"/>
    </row>
    <row r="101" spans="1:9" ht="14.4">
      <c r="A101" s="484"/>
      <c r="B101" s="484"/>
      <c r="D101" s="1283"/>
      <c r="E101" s="1283"/>
      <c r="F101" s="1283"/>
      <c r="I101" s="490"/>
    </row>
    <row r="102" spans="1:9" ht="14.4">
      <c r="A102" s="484"/>
      <c r="B102" s="484"/>
      <c r="D102" s="445"/>
      <c r="E102" s="445"/>
      <c r="F102" s="445"/>
      <c r="I102" s="490"/>
    </row>
    <row r="103" spans="1:9" ht="14.4" customHeight="1">
      <c r="A103" s="484"/>
      <c r="B103" s="485" t="s">
        <v>2611</v>
      </c>
      <c r="D103" s="1283" t="s">
        <v>1193</v>
      </c>
      <c r="E103" s="1283"/>
      <c r="F103" s="1283"/>
      <c r="I103" s="490"/>
    </row>
    <row r="104" spans="1:9" ht="14.4">
      <c r="A104" s="484"/>
      <c r="B104" s="484"/>
      <c r="D104" s="1283"/>
      <c r="E104" s="1283"/>
      <c r="F104" s="1283"/>
      <c r="I104" s="490"/>
    </row>
    <row r="105" spans="1:9" ht="14.4">
      <c r="A105" s="484"/>
      <c r="B105" s="484"/>
      <c r="D105" s="1283"/>
      <c r="E105" s="1283"/>
      <c r="F105" s="1283"/>
      <c r="I105" s="490"/>
    </row>
    <row r="106" spans="1:9" ht="14.4">
      <c r="A106" s="484"/>
      <c r="B106" s="484"/>
      <c r="D106" s="1283"/>
      <c r="E106" s="1283"/>
      <c r="F106" s="1283"/>
      <c r="I106" s="490"/>
    </row>
    <row r="107" spans="1:9" ht="14.4">
      <c r="A107" s="484"/>
      <c r="B107" s="484"/>
      <c r="D107" s="1283"/>
      <c r="E107" s="1283"/>
      <c r="F107" s="1283"/>
      <c r="I107" s="490"/>
    </row>
    <row r="108" spans="1:9" ht="14.4">
      <c r="A108" s="484"/>
      <c r="B108" s="484"/>
      <c r="D108" s="1283"/>
      <c r="E108" s="1283"/>
      <c r="F108" s="1283"/>
      <c r="I108" s="490"/>
    </row>
    <row r="109" spans="1:9" ht="14.4">
      <c r="A109" s="484"/>
      <c r="B109" s="484"/>
      <c r="D109" s="1283"/>
      <c r="E109" s="1283"/>
      <c r="F109" s="1283"/>
      <c r="I109" s="490"/>
    </row>
    <row r="110" spans="1:9" ht="14.4">
      <c r="A110" s="484"/>
      <c r="B110" s="484"/>
      <c r="D110" s="1283"/>
      <c r="E110" s="1283"/>
      <c r="F110" s="1283"/>
      <c r="I110" s="490"/>
    </row>
    <row r="111" spans="1:9" ht="14.4">
      <c r="A111" s="484"/>
      <c r="B111" s="484"/>
      <c r="D111" s="1283"/>
      <c r="E111" s="1283"/>
      <c r="F111" s="1283"/>
      <c r="I111" s="490"/>
    </row>
    <row r="112" spans="1:9" ht="14.4">
      <c r="A112" s="484"/>
      <c r="B112" s="484"/>
      <c r="D112" s="1283"/>
      <c r="E112" s="1283"/>
      <c r="F112" s="1283"/>
      <c r="I112" s="490"/>
    </row>
    <row r="113" spans="1:9" ht="14.4">
      <c r="A113" s="484"/>
      <c r="B113" s="484"/>
      <c r="D113" s="1283"/>
      <c r="E113" s="1283"/>
      <c r="F113" s="1283"/>
      <c r="I113" s="490"/>
    </row>
    <row r="114" spans="1:9" ht="14.4">
      <c r="A114" s="484"/>
      <c r="B114" s="484"/>
      <c r="D114" s="1283"/>
      <c r="E114" s="1283"/>
      <c r="F114" s="1283"/>
      <c r="I114" s="490"/>
    </row>
    <row r="115" spans="1:9" ht="14.4">
      <c r="A115" s="484"/>
      <c r="B115" s="484"/>
      <c r="D115" s="1283"/>
      <c r="E115" s="1283"/>
      <c r="F115" s="1283"/>
      <c r="I115" s="490"/>
    </row>
    <row r="116" spans="1:9" ht="14.4">
      <c r="A116" s="484"/>
      <c r="B116" s="484"/>
      <c r="D116" s="1283"/>
      <c r="E116" s="1283"/>
      <c r="F116" s="1283"/>
      <c r="I116" s="490"/>
    </row>
    <row r="117" spans="1:9" ht="14.4">
      <c r="A117" s="484"/>
      <c r="B117" s="484"/>
      <c r="D117" s="1283"/>
      <c r="E117" s="1283"/>
      <c r="F117" s="1283"/>
      <c r="I117" s="490"/>
    </row>
    <row r="118" spans="1:9" ht="14.4">
      <c r="A118" s="484"/>
      <c r="B118" s="484"/>
      <c r="D118" s="524"/>
      <c r="E118" s="524"/>
      <c r="F118" s="524"/>
      <c r="I118" s="490"/>
    </row>
    <row r="119" spans="1:9" ht="14.25" customHeight="1">
      <c r="A119" s="484"/>
      <c r="B119" s="485" t="s">
        <v>2611</v>
      </c>
      <c r="D119" s="1303" t="s">
        <v>1102</v>
      </c>
      <c r="E119" s="1303"/>
      <c r="F119" s="1303"/>
      <c r="I119" s="490"/>
    </row>
    <row r="120" spans="1:9" ht="14.4">
      <c r="A120" s="484"/>
      <c r="B120" s="484"/>
      <c r="D120" s="1303"/>
      <c r="E120" s="1303"/>
      <c r="F120" s="1303"/>
      <c r="I120" s="490"/>
    </row>
    <row r="121" spans="1:9" ht="14.4">
      <c r="A121" s="484"/>
      <c r="B121" s="484"/>
      <c r="D121" s="1303"/>
      <c r="E121" s="1303"/>
      <c r="F121" s="1303"/>
      <c r="I121" s="490"/>
    </row>
    <row r="122" spans="1:9" ht="14.4">
      <c r="A122" s="484"/>
      <c r="B122" s="484"/>
      <c r="D122" s="1303"/>
      <c r="E122" s="1303"/>
      <c r="F122" s="1303"/>
      <c r="I122" s="490"/>
    </row>
    <row r="123" spans="1:9" ht="14.4">
      <c r="A123" s="484"/>
      <c r="B123" s="484"/>
      <c r="D123" s="1303"/>
      <c r="E123" s="1303"/>
      <c r="F123" s="1303"/>
      <c r="I123" s="490"/>
    </row>
    <row r="124" spans="1:9" ht="14.4">
      <c r="A124" s="484"/>
      <c r="B124" s="484"/>
      <c r="D124" s="1303"/>
      <c r="E124" s="1303"/>
      <c r="F124" s="1303"/>
      <c r="I124" s="490"/>
    </row>
    <row r="125" spans="1:9" ht="14.4">
      <c r="A125" s="484"/>
      <c r="B125" s="484"/>
      <c r="D125" s="1303"/>
      <c r="E125" s="1303"/>
      <c r="F125" s="1303"/>
      <c r="I125" s="490"/>
    </row>
    <row r="126" spans="1:9" ht="14.4">
      <c r="A126" s="484"/>
      <c r="B126" s="484"/>
      <c r="D126" s="1303"/>
      <c r="E126" s="1303"/>
      <c r="F126" s="1303"/>
      <c r="I126" s="490"/>
    </row>
    <row r="127" spans="1:9">
      <c r="C127" s="402"/>
      <c r="D127" s="525"/>
      <c r="E127" s="525"/>
      <c r="F127" s="525"/>
      <c r="I127" s="490"/>
    </row>
    <row r="128" spans="1:9" ht="14.4">
      <c r="A128" s="484"/>
      <c r="B128" s="485" t="s">
        <v>2699</v>
      </c>
      <c r="C128" s="402"/>
      <c r="D128" s="1303" t="s">
        <v>2049</v>
      </c>
      <c r="E128" s="1303"/>
      <c r="F128" s="1303"/>
      <c r="I128" s="490"/>
    </row>
    <row r="129" spans="1:9" ht="14.4">
      <c r="A129" s="484"/>
      <c r="B129" s="484"/>
      <c r="C129" s="402"/>
      <c r="D129" s="1303"/>
      <c r="E129" s="1303"/>
      <c r="F129" s="1303"/>
      <c r="I129" s="490"/>
    </row>
    <row r="130" spans="1:9">
      <c r="I130" s="490"/>
    </row>
    <row r="131" spans="1:9" ht="14.4">
      <c r="A131" s="484"/>
      <c r="B131" s="485" t="s">
        <v>2699</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4">
      <c r="A137" s="484"/>
      <c r="B137" s="485" t="s">
        <v>2699</v>
      </c>
      <c r="D137" s="1283" t="s">
        <v>1104</v>
      </c>
      <c r="E137" s="1283"/>
      <c r="F137" s="1283"/>
      <c r="I137" s="490"/>
    </row>
    <row r="138" spans="1:9" s="417" customFormat="1" ht="13.65" customHeight="1">
      <c r="A138" s="488"/>
      <c r="B138" s="488"/>
      <c r="C138" s="488"/>
      <c r="D138" s="1283"/>
      <c r="E138" s="1283"/>
      <c r="F138" s="1283"/>
      <c r="I138" s="1155"/>
    </row>
    <row r="139" spans="1:9" ht="13.65" customHeight="1">
      <c r="D139" s="1283"/>
      <c r="E139" s="1283"/>
      <c r="F139" s="1283"/>
      <c r="I139" s="490"/>
    </row>
    <row r="140" spans="1:9" ht="13.65" customHeight="1">
      <c r="D140" s="1283"/>
      <c r="E140" s="1283"/>
      <c r="F140" s="1283"/>
      <c r="I140" s="490"/>
    </row>
    <row r="141" spans="1:9" ht="13.65" customHeight="1">
      <c r="D141" s="1283"/>
      <c r="E141" s="1283"/>
      <c r="F141" s="1283"/>
      <c r="I141" s="490"/>
    </row>
    <row r="142" spans="1:9" ht="13.65" customHeight="1">
      <c r="A142" s="489"/>
      <c r="B142" s="489"/>
      <c r="D142" s="1283"/>
      <c r="E142" s="1283"/>
      <c r="F142" s="1283"/>
      <c r="I142" s="490"/>
    </row>
    <row r="143" spans="1:9" ht="13.65" customHeight="1">
      <c r="D143" s="1283"/>
      <c r="E143" s="1283"/>
      <c r="F143" s="1283"/>
      <c r="I143" s="490"/>
    </row>
    <row r="144" spans="1:9" ht="13.65" customHeight="1">
      <c r="D144" s="1283"/>
      <c r="E144" s="1283"/>
      <c r="F144" s="1283"/>
      <c r="I144" s="490"/>
    </row>
    <row r="145" spans="2:9" ht="13.65" customHeight="1">
      <c r="D145" s="1283"/>
      <c r="E145" s="1283"/>
      <c r="F145" s="1283"/>
      <c r="I145" s="490"/>
    </row>
    <row r="146" spans="2:9" ht="13.65" customHeight="1">
      <c r="D146" s="1283"/>
      <c r="E146" s="1283"/>
      <c r="F146" s="1283"/>
      <c r="I146" s="490"/>
    </row>
    <row r="147" spans="2:9" ht="13.65" customHeight="1">
      <c r="D147" s="1283"/>
      <c r="E147" s="1283"/>
      <c r="F147" s="1283"/>
      <c r="I147" s="490"/>
    </row>
    <row r="148" spans="2:9" ht="13.65" customHeight="1">
      <c r="D148" s="1283"/>
      <c r="E148" s="1283"/>
      <c r="F148" s="1283"/>
      <c r="I148" s="490"/>
    </row>
    <row r="149" spans="2:9" ht="13.65" customHeight="1">
      <c r="D149" s="1283"/>
      <c r="E149" s="1283"/>
      <c r="F149" s="1283"/>
      <c r="I149" s="490"/>
    </row>
    <row r="150" spans="2:9" ht="13.65" customHeight="1">
      <c r="D150" s="476"/>
      <c r="E150" s="446"/>
      <c r="F150" s="446"/>
      <c r="I150" s="490"/>
    </row>
    <row r="151" spans="2:9" ht="13.65" customHeight="1">
      <c r="B151" s="485" t="s">
        <v>2611</v>
      </c>
      <c r="D151" s="1283" t="s">
        <v>1176</v>
      </c>
      <c r="E151" s="1283"/>
      <c r="F151" s="1283"/>
      <c r="I151" s="490"/>
    </row>
    <row r="152" spans="2:9" ht="13.65" customHeight="1">
      <c r="D152" s="1283"/>
      <c r="E152" s="1283"/>
      <c r="F152" s="1283"/>
      <c r="I152" s="490"/>
    </row>
    <row r="153" spans="2:9" ht="13.65" customHeight="1">
      <c r="D153" s="1283"/>
      <c r="E153" s="1283"/>
      <c r="F153" s="1283"/>
      <c r="I153" s="490"/>
    </row>
    <row r="154" spans="2:9" ht="13.65" customHeight="1">
      <c r="D154" s="1283"/>
      <c r="E154" s="1283"/>
      <c r="F154" s="1283"/>
      <c r="I154" s="490"/>
    </row>
    <row r="155" spans="2:9" ht="13.65" customHeight="1">
      <c r="D155" s="1283"/>
      <c r="E155" s="1283"/>
      <c r="F155" s="1283"/>
      <c r="I155" s="490"/>
    </row>
    <row r="156" spans="2:9" ht="13.65" customHeight="1">
      <c r="D156" s="1283"/>
      <c r="E156" s="1283"/>
      <c r="F156" s="1283"/>
      <c r="I156" s="490"/>
    </row>
    <row r="157" spans="2:9" ht="13.65" customHeight="1">
      <c r="D157" s="1283"/>
      <c r="E157" s="1283"/>
      <c r="F157" s="1283"/>
      <c r="I157" s="490"/>
    </row>
    <row r="158" spans="2:9" ht="13.65" customHeight="1">
      <c r="D158" s="1283"/>
      <c r="E158" s="1283"/>
      <c r="F158" s="1283"/>
      <c r="I158" s="490"/>
    </row>
    <row r="159" spans="2:9" ht="13.65" customHeight="1">
      <c r="D159" s="1283"/>
      <c r="E159" s="1283"/>
      <c r="F159" s="1283"/>
      <c r="I159" s="490"/>
    </row>
    <row r="160" spans="2:9" ht="13.65" customHeight="1">
      <c r="D160" s="1283"/>
      <c r="E160" s="1283"/>
      <c r="F160" s="1283"/>
      <c r="I160" s="490"/>
    </row>
    <row r="161" spans="1:9" ht="13.65" customHeight="1">
      <c r="D161" s="1283"/>
      <c r="E161" s="1283"/>
      <c r="F161" s="1283"/>
      <c r="I161" s="490"/>
    </row>
    <row r="162" spans="1:9" ht="13.65" customHeight="1">
      <c r="D162" s="1283"/>
      <c r="E162" s="1283"/>
      <c r="F162" s="1283"/>
      <c r="I162" s="490"/>
    </row>
    <row r="163" spans="1:9" ht="13.65" customHeight="1">
      <c r="D163" s="1283"/>
      <c r="E163" s="1283"/>
      <c r="F163" s="1283"/>
      <c r="I163" s="490"/>
    </row>
    <row r="164" spans="1:9" ht="13.65" customHeight="1">
      <c r="D164" s="1283"/>
      <c r="E164" s="1283"/>
      <c r="F164" s="1283"/>
      <c r="I164" s="490"/>
    </row>
    <row r="165" spans="1:9" ht="13.65" customHeight="1">
      <c r="D165" s="1283"/>
      <c r="E165" s="1283"/>
      <c r="F165" s="1283"/>
      <c r="I165" s="490"/>
    </row>
    <row r="166" spans="1:9" ht="13.65" customHeight="1">
      <c r="D166" s="1283"/>
      <c r="E166" s="1283"/>
      <c r="F166" s="1283"/>
      <c r="I166" s="490"/>
    </row>
    <row r="167" spans="1:9" ht="13.65" customHeight="1">
      <c r="D167" s="1283"/>
      <c r="E167" s="1283"/>
      <c r="F167" s="1283"/>
      <c r="I167" s="490"/>
    </row>
    <row r="168" spans="1:9" ht="13.65" customHeight="1">
      <c r="D168" s="1283"/>
      <c r="E168" s="1283"/>
      <c r="F168" s="1283"/>
      <c r="I168" s="490"/>
    </row>
    <row r="169" spans="1:9" ht="13.65" customHeight="1">
      <c r="D169" s="1304" t="s">
        <v>2072</v>
      </c>
      <c r="E169" s="1304"/>
      <c r="F169" s="1304"/>
      <c r="G169" s="507"/>
      <c r="I169" s="490"/>
    </row>
    <row r="170" spans="1:9" ht="13.65" customHeight="1">
      <c r="D170" s="1295"/>
      <c r="E170" s="1295"/>
      <c r="F170" s="1295"/>
      <c r="G170" s="1295"/>
      <c r="I170" s="490"/>
    </row>
    <row r="171" spans="1:9" ht="14.4" customHeight="1">
      <c r="A171" s="489"/>
      <c r="B171" s="485" t="s">
        <v>2611</v>
      </c>
      <c r="C171" s="476"/>
      <c r="D171" s="1263" t="s">
        <v>2212</v>
      </c>
      <c r="E171" s="1263"/>
      <c r="F171" s="1263"/>
      <c r="G171" s="476"/>
      <c r="I171" s="490"/>
    </row>
    <row r="172" spans="1:9" ht="14.4" customHeight="1">
      <c r="A172" s="489"/>
      <c r="B172" s="489"/>
      <c r="C172" s="476"/>
      <c r="D172" s="1263"/>
      <c r="E172" s="1263"/>
      <c r="F172" s="1263"/>
      <c r="G172" s="476"/>
      <c r="I172" s="490"/>
    </row>
    <row r="173" spans="1:9" ht="14.4" customHeight="1">
      <c r="A173" s="489"/>
      <c r="B173" s="489"/>
      <c r="C173" s="476"/>
      <c r="D173" s="1263"/>
      <c r="E173" s="1263"/>
      <c r="F173" s="1263"/>
      <c r="G173" s="476"/>
      <c r="I173" s="490"/>
    </row>
    <row r="174" spans="1:9" ht="14.4" customHeight="1">
      <c r="A174" s="489"/>
      <c r="B174" s="489"/>
      <c r="C174" s="476"/>
      <c r="D174" s="1263"/>
      <c r="E174" s="1263"/>
      <c r="F174" s="1263"/>
      <c r="G174" s="476"/>
      <c r="I174" s="490"/>
    </row>
    <row r="175" spans="1:9" ht="13.65" customHeight="1">
      <c r="A175" s="489"/>
      <c r="B175" s="489"/>
      <c r="C175" s="476"/>
      <c r="D175" s="1263"/>
      <c r="E175" s="1263"/>
      <c r="F175" s="1263"/>
      <c r="G175" s="476"/>
      <c r="I175" s="490"/>
    </row>
    <row r="176" spans="1:9" ht="13.65" customHeight="1">
      <c r="A176" s="489"/>
      <c r="B176" s="489"/>
      <c r="C176" s="476"/>
      <c r="D176" s="476"/>
      <c r="E176" s="476"/>
      <c r="F176" s="476"/>
      <c r="G176" s="476"/>
      <c r="I176" s="490"/>
    </row>
    <row r="177" spans="1:9" ht="13.65" customHeight="1">
      <c r="A177" s="489"/>
      <c r="B177" s="485" t="s">
        <v>2611</v>
      </c>
      <c r="C177" s="476"/>
      <c r="D177" s="1263" t="s">
        <v>1105</v>
      </c>
      <c r="E177" s="1263"/>
      <c r="F177" s="1263"/>
      <c r="G177" s="476"/>
      <c r="I177" s="490"/>
    </row>
    <row r="178" spans="1:9" ht="13.65" customHeight="1">
      <c r="A178" s="489"/>
      <c r="B178" s="489"/>
      <c r="C178" s="476"/>
      <c r="D178" s="1263"/>
      <c r="E178" s="1263"/>
      <c r="F178" s="1263"/>
      <c r="G178" s="476"/>
      <c r="I178" s="490"/>
    </row>
    <row r="179" spans="1:9" ht="13.65" customHeight="1">
      <c r="A179" s="489"/>
      <c r="B179" s="489"/>
      <c r="C179" s="476"/>
      <c r="D179" s="1263"/>
      <c r="E179" s="1263"/>
      <c r="F179" s="1263"/>
      <c r="G179" s="476"/>
      <c r="I179" s="490"/>
    </row>
    <row r="180" spans="1:9" ht="13.65" customHeight="1">
      <c r="A180" s="489"/>
      <c r="B180" s="489"/>
      <c r="C180" s="476"/>
      <c r="D180" s="1263"/>
      <c r="E180" s="1263"/>
      <c r="F180" s="1263"/>
      <c r="G180" s="476"/>
      <c r="I180" s="490"/>
    </row>
    <row r="181" spans="1:9" ht="13.65" customHeight="1">
      <c r="D181" s="446"/>
      <c r="E181" s="446"/>
      <c r="F181" s="446"/>
      <c r="I181" s="490"/>
    </row>
    <row r="182" spans="1:9" ht="13.65" customHeight="1">
      <c r="B182" s="485" t="s">
        <v>2611</v>
      </c>
      <c r="D182" s="1287" t="s">
        <v>2050</v>
      </c>
      <c r="E182" s="1287"/>
      <c r="F182" s="1287"/>
      <c r="I182" s="490"/>
    </row>
    <row r="183" spans="1:9" ht="13.65" customHeight="1">
      <c r="D183" s="1287"/>
      <c r="E183" s="1287"/>
      <c r="F183" s="1287"/>
      <c r="I183" s="490"/>
    </row>
    <row r="184" spans="1:9" ht="13.65" customHeight="1">
      <c r="D184" s="1287"/>
      <c r="E184" s="1287"/>
      <c r="F184" s="1287"/>
      <c r="I184" s="490"/>
    </row>
    <row r="185" spans="1:9" ht="13.65"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65"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2699</v>
      </c>
      <c r="D197" s="1300" t="s">
        <v>1746</v>
      </c>
      <c r="E197" s="1300"/>
      <c r="F197" s="1300"/>
      <c r="I197" s="490"/>
    </row>
    <row r="198" spans="1:9">
      <c r="A198" s="404"/>
      <c r="B198" s="404"/>
      <c r="D198" s="1301" t="s">
        <v>1901</v>
      </c>
      <c r="E198" s="1301"/>
      <c r="F198" s="1301"/>
      <c r="I198" s="490"/>
    </row>
    <row r="199" spans="1:9">
      <c r="A199" s="404"/>
      <c r="B199" s="404"/>
      <c r="D199" s="96" t="s">
        <v>1747</v>
      </c>
      <c r="E199" s="1302" t="s">
        <v>1924</v>
      </c>
      <c r="F199" s="1302"/>
      <c r="I199" s="490"/>
    </row>
    <row r="200" spans="1:9">
      <c r="A200" s="404"/>
      <c r="B200" s="404"/>
      <c r="D200" s="3"/>
      <c r="E200" s="3"/>
      <c r="F200" s="3"/>
      <c r="I200" s="490"/>
    </row>
    <row r="201" spans="1:9">
      <c r="A201" s="404"/>
      <c r="B201" s="485" t="s">
        <v>2611</v>
      </c>
      <c r="D201" s="1301" t="s">
        <v>1748</v>
      </c>
      <c r="E201" s="1301"/>
      <c r="F201" s="1301"/>
      <c r="I201" s="490"/>
    </row>
    <row r="202" spans="1:9">
      <c r="A202" s="404"/>
      <c r="B202" s="404"/>
      <c r="D202" s="1300" t="s">
        <v>1901</v>
      </c>
      <c r="E202" s="1300"/>
      <c r="F202" s="1300"/>
      <c r="I202" s="490"/>
    </row>
    <row r="203" spans="1:9">
      <c r="A203" s="404"/>
      <c r="B203" s="404"/>
      <c r="D203" s="57" t="s">
        <v>1749</v>
      </c>
      <c r="E203" s="1302" t="s">
        <v>1925</v>
      </c>
      <c r="F203" s="1302"/>
      <c r="I203" s="490"/>
    </row>
    <row r="204" spans="1:9">
      <c r="A204" s="404"/>
      <c r="B204" s="404"/>
      <c r="D204" s="3"/>
      <c r="E204" s="3"/>
      <c r="F204" s="3"/>
      <c r="I204" s="490"/>
    </row>
    <row r="205" spans="1:9">
      <c r="A205" s="404"/>
      <c r="B205" s="485" t="s">
        <v>2611</v>
      </c>
      <c r="D205" s="1301" t="s">
        <v>1750</v>
      </c>
      <c r="E205" s="1301"/>
      <c r="F205" s="1301"/>
      <c r="I205" s="490"/>
    </row>
    <row r="206" spans="1:9">
      <c r="A206" s="404"/>
      <c r="B206" s="404"/>
      <c r="D206" s="1300" t="s">
        <v>1901</v>
      </c>
      <c r="E206" s="1300"/>
      <c r="F206" s="1300"/>
      <c r="I206" s="490"/>
    </row>
    <row r="207" spans="1:9">
      <c r="A207" s="404"/>
      <c r="B207" s="404"/>
      <c r="D207" s="57" t="s">
        <v>1747</v>
      </c>
      <c r="E207" s="1302" t="s">
        <v>1926</v>
      </c>
      <c r="F207" s="1302"/>
      <c r="I207" s="490"/>
    </row>
    <row r="208" spans="1:9">
      <c r="A208" s="404"/>
      <c r="B208" s="404"/>
      <c r="D208" s="392"/>
      <c r="E208" s="392"/>
      <c r="F208" s="392"/>
      <c r="I208" s="490"/>
    </row>
    <row r="209" spans="1:9" ht="14.25" customHeight="1">
      <c r="A209" s="484"/>
      <c r="B209" s="485" t="s">
        <v>2611</v>
      </c>
      <c r="D209" s="386" t="s">
        <v>1894</v>
      </c>
      <c r="E209" s="385"/>
      <c r="F209" s="385"/>
      <c r="I209" s="490"/>
    </row>
    <row r="210" spans="1:9" ht="14.4">
      <c r="A210" s="484"/>
      <c r="B210" s="484"/>
      <c r="D210" s="1300" t="s">
        <v>1901</v>
      </c>
      <c r="E210" s="1300"/>
      <c r="F210" s="1300"/>
      <c r="I210" s="490"/>
    </row>
    <row r="211" spans="1:9">
      <c r="D211" s="385"/>
      <c r="E211" s="1302" t="s">
        <v>1927</v>
      </c>
      <c r="F211" s="1302"/>
      <c r="I211" s="490"/>
    </row>
    <row r="212" spans="1:9">
      <c r="D212" s="447"/>
      <c r="I212" s="490"/>
    </row>
    <row r="213" spans="1:9">
      <c r="B213" s="485" t="s">
        <v>2611</v>
      </c>
      <c r="D213" s="1301" t="s">
        <v>1751</v>
      </c>
      <c r="E213" s="1301"/>
      <c r="F213" s="1301"/>
      <c r="I213" s="490"/>
    </row>
    <row r="214" spans="1:9">
      <c r="D214" s="1300" t="s">
        <v>1901</v>
      </c>
      <c r="E214" s="1300"/>
      <c r="F214" s="1300"/>
      <c r="I214" s="490"/>
    </row>
    <row r="215" spans="1:9">
      <c r="D215" s="57" t="s">
        <v>1747</v>
      </c>
      <c r="E215" s="1302" t="s">
        <v>1928</v>
      </c>
      <c r="F215" s="1302"/>
      <c r="I215" s="490"/>
    </row>
    <row r="216" spans="1:9">
      <c r="D216" s="451"/>
      <c r="E216" s="451"/>
      <c r="F216" s="451"/>
      <c r="I216" s="490"/>
    </row>
    <row r="217" spans="1:9" ht="14.4">
      <c r="A217" s="484"/>
      <c r="B217" s="485" t="s">
        <v>2611</v>
      </c>
      <c r="D217" s="1283" t="s">
        <v>1215</v>
      </c>
      <c r="E217" s="1283"/>
      <c r="F217" s="1283"/>
      <c r="I217" s="490"/>
    </row>
    <row r="218" spans="1:9" ht="14.4" customHeight="1">
      <c r="A218" s="484"/>
      <c r="B218" s="402"/>
      <c r="D218" s="1283"/>
      <c r="E218" s="1283"/>
      <c r="F218" s="1283"/>
      <c r="I218" s="490"/>
    </row>
    <row r="219" spans="1:9" ht="14.4">
      <c r="A219" s="484"/>
      <c r="D219" s="1283"/>
      <c r="E219" s="1283"/>
      <c r="F219" s="1283"/>
      <c r="I219" s="490"/>
    </row>
    <row r="220" spans="1:9" ht="14.4">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65" customHeight="1">
      <c r="A227" s="490"/>
      <c r="C227" s="490"/>
      <c r="D227" s="1291" t="s">
        <v>545</v>
      </c>
      <c r="E227" s="1291"/>
      <c r="F227" s="1291"/>
      <c r="I227" s="490"/>
    </row>
    <row r="228" spans="1:9" ht="14.4">
      <c r="A228" s="484"/>
      <c r="B228" s="485" t="s">
        <v>2699</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4">
      <c r="A231" s="484"/>
      <c r="B231" s="484"/>
      <c r="D231" s="1283"/>
      <c r="E231" s="1283"/>
      <c r="F231" s="1283"/>
      <c r="I231" s="490"/>
    </row>
    <row r="232" spans="1:9" ht="14.4">
      <c r="A232" s="484"/>
      <c r="B232" s="484"/>
      <c r="D232" s="445"/>
      <c r="E232" s="445"/>
      <c r="F232" s="445"/>
      <c r="I232" s="490"/>
    </row>
    <row r="233" spans="1:9" ht="14.4">
      <c r="A233" s="484"/>
      <c r="B233" s="485" t="s">
        <v>2699</v>
      </c>
      <c r="D233" s="1283" t="s">
        <v>1753</v>
      </c>
      <c r="E233" s="1283"/>
      <c r="F233" s="1283"/>
      <c r="I233" s="490"/>
    </row>
    <row r="234" spans="1:9" ht="14.4">
      <c r="A234" s="484"/>
      <c r="B234" s="484"/>
      <c r="D234" s="1283"/>
      <c r="E234" s="1283"/>
      <c r="F234" s="1283"/>
      <c r="I234" s="490"/>
    </row>
    <row r="235" spans="1:9" ht="14.4">
      <c r="A235" s="484"/>
      <c r="B235" s="484"/>
      <c r="D235" s="1283"/>
      <c r="E235" s="1283"/>
      <c r="F235" s="1283"/>
      <c r="I235" s="490"/>
    </row>
    <row r="236" spans="1:9" ht="14.4">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4">
      <c r="A239" s="484"/>
      <c r="B239" s="484"/>
      <c r="D239" s="1283" t="s">
        <v>1117</v>
      </c>
      <c r="E239" s="1283"/>
      <c r="F239" s="1283"/>
      <c r="I239" s="490"/>
    </row>
    <row r="240" spans="1:9" ht="14.4">
      <c r="A240" s="484"/>
      <c r="B240" s="484"/>
      <c r="D240" s="1283"/>
      <c r="E240" s="1283"/>
      <c r="F240" s="1283"/>
      <c r="I240" s="490"/>
    </row>
    <row r="241" spans="1:9" ht="14.4">
      <c r="A241" s="484"/>
      <c r="B241" s="484"/>
      <c r="D241" s="1283"/>
      <c r="E241" s="1283"/>
      <c r="F241" s="1283"/>
      <c r="I241" s="490"/>
    </row>
    <row r="242" spans="1:9" ht="14.4">
      <c r="A242" s="484"/>
      <c r="B242" s="484"/>
      <c r="D242" s="1283"/>
      <c r="E242" s="1283"/>
      <c r="F242" s="1283"/>
      <c r="I242" s="490"/>
    </row>
    <row r="243" spans="1:9" ht="14.4">
      <c r="A243" s="484"/>
      <c r="B243" s="484"/>
      <c r="D243" s="1283"/>
      <c r="E243" s="1283"/>
      <c r="F243" s="1283"/>
      <c r="I243" s="490"/>
    </row>
    <row r="244" spans="1:9" ht="14.4">
      <c r="A244" s="484"/>
      <c r="B244" s="484"/>
      <c r="D244" s="446"/>
      <c r="E244" s="446"/>
      <c r="F244" s="446"/>
      <c r="I244" s="490"/>
    </row>
    <row r="245" spans="1:9" ht="14.4">
      <c r="A245" s="484"/>
      <c r="B245" s="485" t="s">
        <v>2611</v>
      </c>
      <c r="D245" s="1283" t="s">
        <v>2052</v>
      </c>
      <c r="E245" s="1283"/>
      <c r="F245" s="1283"/>
      <c r="I245" s="490"/>
    </row>
    <row r="246" spans="1:9" ht="14.4">
      <c r="A246" s="484"/>
      <c r="B246" s="484"/>
      <c r="D246" s="1283"/>
      <c r="E246" s="1283"/>
      <c r="F246" s="1283"/>
      <c r="I246" s="490"/>
    </row>
    <row r="247" spans="1:9" ht="14.4">
      <c r="A247" s="484"/>
      <c r="B247" s="484"/>
      <c r="D247" s="1283"/>
      <c r="E247" s="1283"/>
      <c r="F247" s="1283"/>
      <c r="I247" s="490"/>
    </row>
    <row r="248" spans="1:9" ht="14.4">
      <c r="A248" s="484"/>
      <c r="B248" s="484"/>
      <c r="E248" s="1036" t="s">
        <v>1895</v>
      </c>
      <c r="I248" s="490"/>
    </row>
    <row r="249" spans="1:9" ht="14.4">
      <c r="A249" s="484"/>
      <c r="B249" s="484"/>
      <c r="D249" s="446"/>
      <c r="E249" s="446"/>
      <c r="F249" s="446"/>
      <c r="I249" s="490"/>
    </row>
    <row r="250" spans="1:9" ht="14.4" customHeight="1">
      <c r="A250" s="484"/>
      <c r="B250" s="485" t="s">
        <v>2611</v>
      </c>
      <c r="D250" s="1283" t="s">
        <v>2053</v>
      </c>
      <c r="E250" s="1283"/>
      <c r="F250" s="1283"/>
      <c r="I250" s="490"/>
    </row>
    <row r="251" spans="1:9" ht="14.4">
      <c r="A251" s="484"/>
      <c r="B251" s="484"/>
      <c r="D251" s="1283"/>
      <c r="E251" s="1283"/>
      <c r="F251" s="1283"/>
      <c r="I251" s="490"/>
    </row>
    <row r="252" spans="1:9" ht="14.4">
      <c r="A252" s="484"/>
      <c r="B252" s="484"/>
      <c r="D252" s="1283"/>
      <c r="E252" s="1283"/>
      <c r="F252" s="1283"/>
      <c r="I252" s="490"/>
    </row>
    <row r="253" spans="1:9" ht="14.4">
      <c r="A253" s="484"/>
      <c r="B253" s="484"/>
      <c r="D253" s="1283"/>
      <c r="E253" s="1283"/>
      <c r="F253" s="1283"/>
      <c r="I253" s="490"/>
    </row>
    <row r="254" spans="1:9" ht="14.4">
      <c r="A254" s="484"/>
      <c r="B254" s="484"/>
      <c r="D254" s="1283"/>
      <c r="E254" s="1283"/>
      <c r="F254" s="1283"/>
      <c r="I254" s="490"/>
    </row>
    <row r="255" spans="1:9" ht="14.4">
      <c r="A255" s="484"/>
      <c r="B255" s="484"/>
      <c r="D255" s="445"/>
      <c r="E255" s="445"/>
      <c r="F255" s="445"/>
      <c r="I255" s="490"/>
    </row>
    <row r="256" spans="1:9" ht="14.4">
      <c r="A256" s="484"/>
      <c r="B256" s="485" t="s">
        <v>2699</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2699</v>
      </c>
      <c r="D259" s="1283" t="s">
        <v>1118</v>
      </c>
      <c r="E259" s="1283"/>
      <c r="F259" s="1283"/>
      <c r="I259" s="490"/>
    </row>
    <row r="260" spans="1:9" ht="14.4">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 customHeight="1">
      <c r="A267" s="484"/>
      <c r="B267" s="485" t="s">
        <v>2699</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 customHeight="1">
      <c r="A271" s="484"/>
      <c r="B271" s="485" t="s">
        <v>2611</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4">
      <c r="A278" s="484"/>
      <c r="B278" s="485" t="s">
        <v>2611</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1123</v>
      </c>
      <c r="E288" s="1298"/>
      <c r="F288" s="1298"/>
      <c r="I288" s="490"/>
    </row>
    <row r="289" spans="1:9">
      <c r="E289" s="446"/>
      <c r="F289" s="446"/>
      <c r="I289" s="490"/>
    </row>
    <row r="290" spans="1:9" ht="14.4">
      <c r="A290" s="484"/>
      <c r="B290" s="485" t="s">
        <v>2611</v>
      </c>
      <c r="D290" s="1283" t="s">
        <v>1124</v>
      </c>
      <c r="E290" s="1283"/>
      <c r="F290" s="1283"/>
      <c r="I290" s="490"/>
    </row>
    <row r="291" spans="1:9" ht="14.4">
      <c r="A291" s="484"/>
      <c r="B291" s="484"/>
      <c r="D291" s="1283"/>
      <c r="E291" s="1283"/>
      <c r="F291" s="1283"/>
      <c r="I291" s="490"/>
    </row>
    <row r="292" spans="1:9">
      <c r="D292" s="446"/>
      <c r="E292" s="446"/>
      <c r="F292" s="446"/>
      <c r="I292" s="490"/>
    </row>
    <row r="293" spans="1:9" ht="14.4">
      <c r="A293" s="484"/>
      <c r="B293" s="485" t="s">
        <v>2611</v>
      </c>
      <c r="D293" s="1283" t="s">
        <v>1125</v>
      </c>
      <c r="E293" s="1283"/>
      <c r="F293" s="1283"/>
      <c r="I293" s="490"/>
    </row>
    <row r="294" spans="1:9" ht="14.4">
      <c r="A294" s="484"/>
      <c r="B294" s="484"/>
      <c r="D294" s="1283"/>
      <c r="E294" s="1283"/>
      <c r="F294" s="1283"/>
      <c r="I294" s="490"/>
    </row>
    <row r="295" spans="1:9" ht="14.4">
      <c r="A295" s="484"/>
      <c r="B295" s="484"/>
      <c r="D295" s="1283"/>
      <c r="E295" s="1283"/>
      <c r="F295" s="1283"/>
      <c r="I295" s="490"/>
    </row>
    <row r="296" spans="1:9">
      <c r="D296" s="446"/>
      <c r="E296" s="446"/>
      <c r="F296" s="446"/>
      <c r="I296" s="490"/>
    </row>
    <row r="297" spans="1:9" ht="14.4">
      <c r="A297" s="484"/>
      <c r="B297" s="485" t="s">
        <v>2611</v>
      </c>
      <c r="D297" s="1283" t="s">
        <v>1126</v>
      </c>
      <c r="E297" s="1283"/>
      <c r="F297" s="1283"/>
      <c r="I297" s="490"/>
    </row>
    <row r="298" spans="1:9" ht="14.4">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1127</v>
      </c>
      <c r="E303" s="1284"/>
      <c r="F303" s="1284"/>
      <c r="I303" s="490"/>
    </row>
    <row r="304" spans="1:9">
      <c r="C304" s="490"/>
      <c r="D304" s="493"/>
      <c r="I304" s="490"/>
    </row>
    <row r="305" spans="1:9">
      <c r="B305" s="485" t="s">
        <v>2611</v>
      </c>
      <c r="D305" s="1284" t="s">
        <v>1128</v>
      </c>
      <c r="E305" s="1284"/>
      <c r="F305" s="1284"/>
      <c r="I305" s="490"/>
    </row>
    <row r="306" spans="1:9" ht="14.4">
      <c r="A306" s="484"/>
      <c r="B306" s="484"/>
      <c r="D306" s="494"/>
      <c r="E306" s="495"/>
      <c r="F306" s="495"/>
      <c r="I306" s="490"/>
    </row>
    <row r="307" spans="1:9" ht="13.65" customHeight="1">
      <c r="B307" s="485" t="s">
        <v>2611</v>
      </c>
      <c r="D307" s="1293" t="s">
        <v>1218</v>
      </c>
      <c r="E307" s="1293"/>
      <c r="F307" s="1293"/>
      <c r="I307" s="490"/>
    </row>
    <row r="308" spans="1:9" ht="14.4">
      <c r="A308" s="484"/>
      <c r="B308" s="484"/>
      <c r="D308" s="1293"/>
      <c r="E308" s="1293"/>
      <c r="F308" s="1293"/>
      <c r="I308" s="490"/>
    </row>
    <row r="309" spans="1:9" ht="14.4">
      <c r="A309" s="484"/>
      <c r="B309" s="484"/>
      <c r="D309" s="1293"/>
      <c r="E309" s="1293"/>
      <c r="F309" s="1293"/>
      <c r="I309" s="490"/>
    </row>
    <row r="310" spans="1:9" ht="14.4">
      <c r="A310" s="484"/>
      <c r="B310" s="484"/>
      <c r="D310" s="1293"/>
      <c r="E310" s="1293"/>
      <c r="F310" s="1293"/>
      <c r="I310" s="490"/>
    </row>
    <row r="311" spans="1:9" ht="14.4">
      <c r="A311" s="484"/>
      <c r="B311" s="484"/>
      <c r="D311" s="1293"/>
      <c r="E311" s="1293"/>
      <c r="F311" s="1293"/>
      <c r="I311" s="490"/>
    </row>
    <row r="312" spans="1:9" ht="14.4">
      <c r="A312" s="484"/>
      <c r="B312" s="484"/>
      <c r="D312" s="494"/>
      <c r="E312" s="495"/>
      <c r="F312" s="495"/>
      <c r="I312" s="490"/>
    </row>
    <row r="313" spans="1:9" ht="13.65" customHeight="1">
      <c r="B313" s="485" t="s">
        <v>2611</v>
      </c>
      <c r="D313" s="1293" t="s">
        <v>1129</v>
      </c>
      <c r="E313" s="1293"/>
      <c r="F313" s="1293"/>
      <c r="I313" s="490"/>
    </row>
    <row r="314" spans="1:9">
      <c r="D314" s="1293"/>
      <c r="E314" s="1293"/>
      <c r="F314" s="1293"/>
      <c r="I314" s="490"/>
    </row>
    <row r="315" spans="1:9" ht="14.4">
      <c r="A315" s="484"/>
      <c r="B315" s="484"/>
      <c r="D315" s="494"/>
      <c r="E315" s="495"/>
      <c r="F315" s="495"/>
      <c r="I315" s="490"/>
    </row>
    <row r="316" spans="1:9">
      <c r="B316" s="485" t="s">
        <v>2611</v>
      </c>
      <c r="D316" s="1284" t="s">
        <v>1130</v>
      </c>
      <c r="E316" s="1284"/>
      <c r="F316" s="1284"/>
      <c r="I316" s="490"/>
    </row>
    <row r="317" spans="1:9">
      <c r="E317" s="446"/>
      <c r="F317" s="446"/>
      <c r="I317" s="490"/>
    </row>
    <row r="318" spans="1:9" ht="14.4">
      <c r="A318" s="484"/>
      <c r="B318" s="485" t="s">
        <v>2611</v>
      </c>
      <c r="D318" s="1283" t="s">
        <v>2245</v>
      </c>
      <c r="E318" s="1283"/>
      <c r="F318" s="1283"/>
      <c r="I318" s="490"/>
    </row>
    <row r="319" spans="1:9" ht="14.4">
      <c r="A319" s="484"/>
      <c r="B319" s="484"/>
      <c r="D319" s="1283"/>
      <c r="E319" s="1283"/>
      <c r="F319" s="1283"/>
      <c r="I319" s="490"/>
    </row>
    <row r="320" spans="1:9" ht="14.4">
      <c r="A320" s="484"/>
      <c r="B320" s="484"/>
      <c r="D320" s="1283"/>
      <c r="E320" s="1283"/>
      <c r="F320" s="1283"/>
      <c r="I320" s="490"/>
    </row>
    <row r="321" spans="1:9" ht="14.4">
      <c r="A321" s="484"/>
      <c r="B321" s="484"/>
      <c r="D321" s="1283"/>
      <c r="E321" s="1283"/>
      <c r="F321" s="1283"/>
      <c r="I321" s="490"/>
    </row>
    <row r="322" spans="1:9" ht="14.4">
      <c r="A322" s="484"/>
      <c r="B322" s="484"/>
      <c r="D322" s="1283"/>
      <c r="E322" s="1283"/>
      <c r="F322" s="1283"/>
      <c r="I322" s="490"/>
    </row>
    <row r="323" spans="1:9" ht="14.4">
      <c r="A323" s="484"/>
      <c r="B323" s="484"/>
      <c r="D323" s="1283"/>
      <c r="E323" s="1283"/>
      <c r="F323" s="1283"/>
      <c r="I323" s="490"/>
    </row>
    <row r="324" spans="1:9" ht="14.4">
      <c r="A324" s="484"/>
      <c r="B324" s="484"/>
      <c r="D324" s="1283"/>
      <c r="E324" s="1283"/>
      <c r="F324" s="1283"/>
      <c r="I324" s="490"/>
    </row>
    <row r="325" spans="1:9" ht="14.4">
      <c r="A325" s="484"/>
      <c r="B325" s="484"/>
      <c r="D325" s="1283"/>
      <c r="E325" s="1283"/>
      <c r="F325" s="1283"/>
      <c r="I325" s="490"/>
    </row>
    <row r="326" spans="1:9" ht="14.4">
      <c r="A326" s="484"/>
      <c r="B326" s="484"/>
      <c r="D326" s="1283"/>
      <c r="E326" s="1283"/>
      <c r="F326" s="1283"/>
      <c r="I326" s="490"/>
    </row>
    <row r="327" spans="1:9" ht="14.4">
      <c r="A327" s="484"/>
      <c r="B327" s="484"/>
      <c r="D327" s="1283"/>
      <c r="E327" s="1283"/>
      <c r="F327" s="1283"/>
      <c r="I327" s="490"/>
    </row>
    <row r="328" spans="1:9" ht="14.4">
      <c r="A328" s="484"/>
      <c r="B328" s="484"/>
      <c r="D328" s="1283"/>
      <c r="E328" s="1283"/>
      <c r="F328" s="1283"/>
      <c r="I328" s="490"/>
    </row>
    <row r="329" spans="1:9" ht="14.4">
      <c r="A329" s="484"/>
      <c r="B329" s="484"/>
      <c r="D329" s="1283"/>
      <c r="E329" s="1283"/>
      <c r="F329" s="1283"/>
      <c r="I329" s="490"/>
    </row>
    <row r="330" spans="1:9" ht="14.4">
      <c r="A330" s="484"/>
      <c r="B330" s="484"/>
      <c r="D330" s="1283"/>
      <c r="E330" s="1283"/>
      <c r="F330" s="1283"/>
      <c r="I330" s="490"/>
    </row>
    <row r="331" spans="1:9" ht="14.4">
      <c r="A331" s="484"/>
      <c r="B331" s="484"/>
      <c r="D331" s="1283"/>
      <c r="E331" s="1283"/>
      <c r="F331" s="1283"/>
      <c r="I331" s="490"/>
    </row>
    <row r="332" spans="1:9" ht="14.4">
      <c r="A332" s="484"/>
      <c r="B332" s="484"/>
      <c r="D332" s="1283"/>
      <c r="E332" s="1283"/>
      <c r="F332" s="1283"/>
      <c r="I332" s="490"/>
    </row>
    <row r="333" spans="1:9">
      <c r="D333" s="446"/>
      <c r="E333" s="446"/>
      <c r="F333" s="446"/>
      <c r="I333" s="490"/>
    </row>
    <row r="334" spans="1:9" ht="14.4">
      <c r="A334" s="484"/>
      <c r="B334" s="485" t="s">
        <v>2611</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2611</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296" t="s">
        <v>978</v>
      </c>
      <c r="E351" s="1296"/>
      <c r="F351" s="1296"/>
      <c r="G351" s="1027"/>
      <c r="H351" s="1027"/>
      <c r="I351" s="1156"/>
    </row>
    <row r="352" spans="1:9" ht="13.8"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4">
      <c r="A355" s="484"/>
      <c r="B355" s="485" t="s">
        <v>2611</v>
      </c>
      <c r="C355" s="487"/>
      <c r="D355" s="1284" t="s">
        <v>1900</v>
      </c>
      <c r="E355" s="1284"/>
      <c r="F355" s="1284"/>
      <c r="I355" s="490"/>
    </row>
    <row r="356" spans="1:9" ht="12.75" customHeight="1">
      <c r="D356" s="1037"/>
      <c r="E356" s="96" t="s">
        <v>1899</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ht="14.4">
      <c r="A360" s="484"/>
      <c r="B360" s="485" t="s">
        <v>2611</v>
      </c>
      <c r="C360" s="476"/>
      <c r="D360" s="1295" t="s">
        <v>2056</v>
      </c>
      <c r="E360" s="1295"/>
      <c r="F360" s="1295"/>
      <c r="I360" s="480"/>
    </row>
    <row r="361" spans="1:9">
      <c r="A361" s="476"/>
      <c r="B361" s="476"/>
      <c r="C361" s="476"/>
      <c r="D361" s="447"/>
      <c r="E361" s="447"/>
      <c r="F361" s="446"/>
      <c r="I361" s="490"/>
    </row>
    <row r="362" spans="1:9">
      <c r="A362" s="476"/>
      <c r="B362" s="485" t="s">
        <v>2611</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5" customHeight="1">
      <c r="A375" s="476"/>
      <c r="B375" s="485" t="s">
        <v>2611</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2611</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4">
      <c r="A387" s="484"/>
      <c r="B387" s="485" t="s">
        <v>2611</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65"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2611</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 customHeight="1">
      <c r="A423" s="484"/>
      <c r="B423" s="485" t="s">
        <v>2611</v>
      </c>
      <c r="D423" s="1263" t="s">
        <v>1881</v>
      </c>
      <c r="E423" s="1263"/>
      <c r="F423" s="1263"/>
      <c r="I423" s="490"/>
    </row>
    <row r="424" spans="1:9" ht="14.4" customHeight="1">
      <c r="A424" s="484"/>
      <c r="D424" s="1263"/>
      <c r="E424" s="1263"/>
      <c r="F424" s="1263"/>
      <c r="I424" s="490"/>
    </row>
    <row r="425" spans="1:9" ht="14.4" customHeight="1">
      <c r="A425" s="484"/>
      <c r="D425" s="1263"/>
      <c r="E425" s="1263"/>
      <c r="F425" s="1263"/>
      <c r="I425" s="490"/>
    </row>
    <row r="426" spans="1:9" ht="14.4" customHeight="1">
      <c r="A426" s="484"/>
      <c r="D426" s="1263"/>
      <c r="E426" s="1263"/>
      <c r="F426" s="1263"/>
      <c r="I426" s="490"/>
    </row>
    <row r="427" spans="1:9" ht="14.4" customHeight="1">
      <c r="A427" s="484"/>
      <c r="D427" s="1263"/>
      <c r="E427" s="1263"/>
      <c r="F427" s="1263"/>
      <c r="I427" s="490"/>
    </row>
    <row r="428" spans="1:9" ht="14.4" customHeight="1">
      <c r="A428" s="484"/>
      <c r="D428" s="385"/>
      <c r="E428" s="385"/>
      <c r="F428" s="385"/>
      <c r="I428" s="490"/>
    </row>
    <row r="429" spans="1:9" ht="13.65" customHeight="1">
      <c r="A429" s="484"/>
      <c r="B429" s="485" t="s">
        <v>2611</v>
      </c>
      <c r="C429" s="476"/>
      <c r="D429" s="1263" t="s">
        <v>1239</v>
      </c>
      <c r="E429" s="1263"/>
      <c r="F429" s="1263"/>
      <c r="I429" s="490"/>
    </row>
    <row r="430" spans="1:9" ht="14.4">
      <c r="A430" s="497"/>
      <c r="B430" s="497"/>
      <c r="C430" s="476"/>
      <c r="D430" s="1263"/>
      <c r="E430" s="1263"/>
      <c r="F430" s="1263"/>
      <c r="I430" s="490"/>
    </row>
    <row r="431" spans="1:9" ht="14.4">
      <c r="A431" s="497"/>
      <c r="B431" s="497"/>
      <c r="C431" s="476"/>
      <c r="D431" s="1263"/>
      <c r="E431" s="1263"/>
      <c r="F431" s="1263"/>
      <c r="I431" s="490"/>
    </row>
    <row r="432" spans="1:9" ht="14.4">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4">
      <c r="A435" s="484"/>
      <c r="B435" s="485" t="s">
        <v>2611</v>
      </c>
      <c r="C435" s="487"/>
      <c r="D435" s="1283" t="s">
        <v>2058</v>
      </c>
      <c r="E435" s="1283"/>
      <c r="F435" s="1283"/>
      <c r="I435" s="490"/>
    </row>
    <row r="436" spans="1:9" ht="14.4">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65" customHeight="1">
      <c r="D465" s="1283"/>
      <c r="E465" s="1283"/>
      <c r="F465" s="1283"/>
      <c r="I465" s="490"/>
    </row>
    <row r="466" spans="1:9">
      <c r="D466" s="446"/>
      <c r="E466" s="446"/>
      <c r="F466" s="446"/>
      <c r="I466" s="490"/>
    </row>
    <row r="467" spans="1:9" ht="14.4">
      <c r="A467" s="484"/>
      <c r="B467" s="485" t="s">
        <v>2611</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4">
      <c r="B471" s="485" t="s">
        <v>2611</v>
      </c>
      <c r="C471" s="484"/>
      <c r="D471" s="1283" t="s">
        <v>1196</v>
      </c>
      <c r="E471" s="1283"/>
      <c r="F471" s="1283"/>
      <c r="I471" s="490"/>
    </row>
    <row r="472" spans="1:9">
      <c r="D472" s="1283"/>
      <c r="E472" s="1283"/>
      <c r="F472" s="1283"/>
      <c r="I472" s="490"/>
    </row>
    <row r="473" spans="1:9">
      <c r="D473" s="446"/>
      <c r="E473" s="446"/>
      <c r="F473" s="446"/>
      <c r="I473" s="490"/>
    </row>
    <row r="474" spans="1:9" ht="14.4">
      <c r="B474" s="485" t="s">
        <v>2611</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2611</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2611</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2611</v>
      </c>
      <c r="C486" s="402"/>
      <c r="D486" s="1283"/>
      <c r="E486" s="1283"/>
      <c r="F486" s="1283"/>
      <c r="I486" s="490"/>
    </row>
    <row r="487" spans="1:9">
      <c r="A487" s="402"/>
      <c r="C487" s="402"/>
      <c r="D487" s="1283"/>
      <c r="E487" s="1283"/>
      <c r="F487" s="1283"/>
      <c r="I487" s="490"/>
    </row>
    <row r="488" spans="1:9">
      <c r="A488" s="402"/>
      <c r="B488" s="485" t="s">
        <v>2611</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2611</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ht="14.4">
      <c r="A499" s="484"/>
      <c r="B499" s="484"/>
      <c r="D499" s="1295" t="s">
        <v>1140</v>
      </c>
      <c r="E499" s="1295"/>
      <c r="F499" s="1295"/>
      <c r="I499" s="490"/>
    </row>
    <row r="500" spans="1:9" ht="14.4">
      <c r="A500" s="484"/>
      <c r="B500" s="484"/>
      <c r="D500" s="447"/>
      <c r="I500" s="490"/>
    </row>
    <row r="501" spans="1:9" ht="14.4">
      <c r="A501" s="484"/>
      <c r="B501" s="485" t="s">
        <v>2611</v>
      </c>
      <c r="D501" s="1263" t="s">
        <v>1141</v>
      </c>
      <c r="E501" s="1263"/>
      <c r="F501" s="1263"/>
      <c r="I501" s="490"/>
    </row>
    <row r="502" spans="1:9" ht="14.4">
      <c r="A502" s="484"/>
      <c r="B502" s="484"/>
      <c r="D502" s="1263"/>
      <c r="E502" s="1263"/>
      <c r="F502" s="1263"/>
      <c r="I502" s="490"/>
    </row>
    <row r="503" spans="1:9" ht="14.4">
      <c r="A503" s="484"/>
      <c r="B503" s="484"/>
      <c r="D503" s="446"/>
      <c r="I503" s="490"/>
    </row>
    <row r="504" spans="1:9" ht="12.75" customHeight="1">
      <c r="B504" s="485" t="s">
        <v>2611</v>
      </c>
      <c r="D504" s="1287" t="s">
        <v>1272</v>
      </c>
      <c r="E504" s="1287"/>
      <c r="F504" s="1287"/>
      <c r="I504" s="490"/>
    </row>
    <row r="505" spans="1:9" ht="14.4">
      <c r="A505" s="484"/>
      <c r="D505" s="1287"/>
      <c r="E505" s="1287"/>
      <c r="F505" s="1287"/>
      <c r="I505" s="490"/>
    </row>
    <row r="506" spans="1:9" ht="14.4">
      <c r="A506" s="484"/>
      <c r="B506" s="484"/>
      <c r="D506" s="1287"/>
      <c r="E506" s="1287"/>
      <c r="F506" s="1287"/>
      <c r="I506" s="490"/>
    </row>
    <row r="507" spans="1:9" ht="14.4">
      <c r="A507" s="484"/>
      <c r="B507" s="484"/>
      <c r="D507" s="1287"/>
      <c r="E507" s="1287"/>
      <c r="F507" s="1287"/>
      <c r="I507" s="490"/>
    </row>
    <row r="508" spans="1:9" ht="14.4">
      <c r="A508" s="484"/>
      <c r="D508" s="520"/>
      <c r="E508" s="520"/>
      <c r="F508" s="520"/>
      <c r="I508" s="490"/>
    </row>
    <row r="509" spans="1:9" ht="14.4">
      <c r="A509" s="484"/>
      <c r="B509" s="485" t="s">
        <v>2611</v>
      </c>
      <c r="D509" s="1284" t="s">
        <v>1142</v>
      </c>
      <c r="E509" s="1284"/>
      <c r="F509" s="1284"/>
      <c r="I509" s="490"/>
    </row>
    <row r="510" spans="1:9" ht="14.4">
      <c r="A510" s="484"/>
      <c r="B510" s="484"/>
      <c r="D510" s="446"/>
      <c r="I510" s="490"/>
    </row>
    <row r="511" spans="1:9" ht="14.4">
      <c r="A511" s="484"/>
      <c r="B511" s="485" t="s">
        <v>2611</v>
      </c>
      <c r="D511" s="1283" t="s">
        <v>1143</v>
      </c>
      <c r="E511" s="1283"/>
      <c r="F511" s="1283"/>
      <c r="I511" s="490"/>
    </row>
    <row r="512" spans="1:9" ht="14.4">
      <c r="A512" s="484"/>
      <c r="D512" s="1283"/>
      <c r="E512" s="1283"/>
      <c r="F512" s="1283"/>
      <c r="I512" s="490"/>
    </row>
    <row r="513" spans="1:9">
      <c r="A513" s="490"/>
      <c r="B513" s="490"/>
      <c r="D513" s="447"/>
      <c r="I513" s="490"/>
    </row>
    <row r="514" spans="1:9">
      <c r="A514" s="490"/>
      <c r="B514" s="485" t="s">
        <v>2611</v>
      </c>
      <c r="D514" s="1284" t="s">
        <v>1144</v>
      </c>
      <c r="E514" s="1284"/>
      <c r="F514" s="1284"/>
      <c r="I514" s="490"/>
    </row>
    <row r="515" spans="1:9">
      <c r="D515" s="446"/>
      <c r="E515" s="446"/>
      <c r="F515" s="446"/>
      <c r="I515" s="490"/>
    </row>
    <row r="516" spans="1:9">
      <c r="B516" s="485" t="s">
        <v>2611</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4">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65" customHeight="1">
      <c r="A527" s="483"/>
      <c r="B527" s="485" t="s">
        <v>2699</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2699</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 customHeight="1">
      <c r="A536" s="483"/>
      <c r="B536" s="485" t="s">
        <v>2699</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1080</v>
      </c>
      <c r="E546" s="1284"/>
      <c r="F546" s="1284"/>
      <c r="I546" s="490"/>
    </row>
    <row r="547" spans="1:9">
      <c r="C547" s="487"/>
      <c r="D547" s="446"/>
      <c r="E547" s="446"/>
      <c r="F547" s="446"/>
      <c r="I547" s="490"/>
    </row>
    <row r="548" spans="1:9" ht="13.65" customHeight="1">
      <c r="A548" s="484"/>
      <c r="B548" s="485" t="s">
        <v>2699</v>
      </c>
      <c r="C548" s="487"/>
      <c r="D548" s="1284" t="s">
        <v>883</v>
      </c>
      <c r="E548" s="1284"/>
      <c r="F548" s="1284"/>
      <c r="I548" s="490"/>
    </row>
    <row r="549" spans="1:9" ht="13.65" customHeight="1">
      <c r="A549" s="487"/>
      <c r="B549" s="487"/>
      <c r="C549" s="487"/>
      <c r="D549" s="446"/>
      <c r="I549" s="490"/>
    </row>
    <row r="550" spans="1:9" ht="14.4">
      <c r="A550" s="484"/>
      <c r="B550" s="485" t="s">
        <v>2699</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4">
      <c r="A553" s="484"/>
      <c r="B553" s="485" t="s">
        <v>2699</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4">
      <c r="A556" s="484"/>
      <c r="B556" s="485" t="s">
        <v>2699</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4">
      <c r="A559" s="484"/>
      <c r="B559" s="485" t="s">
        <v>2699</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4">
      <c r="A563" s="484"/>
      <c r="B563" s="485" t="s">
        <v>2611</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4">
      <c r="A566" s="484"/>
      <c r="B566" s="485" t="s">
        <v>2699</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4">
      <c r="A569" s="484"/>
      <c r="B569" s="485" t="s">
        <v>2699</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2699</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4">
      <c r="A578" s="484"/>
      <c r="B578" s="485" t="s">
        <v>2699</v>
      </c>
      <c r="C578" s="487"/>
      <c r="D578" s="1283" t="s">
        <v>2062</v>
      </c>
      <c r="E578" s="1283"/>
      <c r="F578" s="1283"/>
      <c r="I578" s="490"/>
    </row>
    <row r="579" spans="1:9" ht="14.4">
      <c r="A579" s="484"/>
      <c r="B579" s="484"/>
      <c r="C579" s="487"/>
      <c r="D579" s="1283"/>
      <c r="E579" s="1283"/>
      <c r="F579" s="1283"/>
      <c r="I579" s="490"/>
    </row>
    <row r="580" spans="1:9" ht="14.4">
      <c r="A580" s="484"/>
      <c r="B580" s="484"/>
      <c r="C580" s="487"/>
      <c r="D580" s="1283"/>
      <c r="E580" s="1283"/>
      <c r="F580" s="1283"/>
      <c r="I580" s="490"/>
    </row>
    <row r="581" spans="1:9" ht="14.4">
      <c r="A581" s="484"/>
      <c r="B581" s="484"/>
      <c r="C581" s="487"/>
      <c r="D581" s="1283"/>
      <c r="E581" s="1283"/>
      <c r="F581" s="1283"/>
      <c r="I581" s="490"/>
    </row>
    <row r="582" spans="1:9" ht="14.4">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2699</v>
      </c>
      <c r="D588" s="1287" t="s">
        <v>887</v>
      </c>
      <c r="E588" s="1287"/>
      <c r="F588" s="1287"/>
      <c r="I588" s="490"/>
    </row>
    <row r="589" spans="1:9">
      <c r="A589" s="490"/>
      <c r="B589" s="490"/>
      <c r="D589" s="476"/>
      <c r="I589" s="490"/>
    </row>
    <row r="590" spans="1:9">
      <c r="A590" s="490"/>
      <c r="B590" s="485" t="s">
        <v>2699</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2611</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2699</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2611</v>
      </c>
      <c r="D602" s="1287" t="s">
        <v>1068</v>
      </c>
      <c r="E602" s="1287"/>
      <c r="F602" s="1287"/>
      <c r="I602" s="490"/>
    </row>
    <row r="603" spans="1:9">
      <c r="A603" s="490"/>
      <c r="B603" s="490"/>
      <c r="D603" s="1287"/>
      <c r="E603" s="1287"/>
      <c r="F603" s="1287"/>
      <c r="I603" s="490"/>
    </row>
    <row r="604" spans="1:9" ht="14.4">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2699</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2699</v>
      </c>
      <c r="D620" s="1308" t="s">
        <v>1110</v>
      </c>
      <c r="E620" s="1308"/>
      <c r="F620" s="1308"/>
      <c r="I620" s="490"/>
    </row>
    <row r="621" spans="1:9">
      <c r="D621" s="1308"/>
      <c r="E621" s="1308"/>
      <c r="F621" s="1308"/>
      <c r="I621" s="490"/>
    </row>
    <row r="622" spans="1:9">
      <c r="I622" s="490"/>
    </row>
    <row r="623" spans="1:9">
      <c r="B623" s="485" t="s">
        <v>2699</v>
      </c>
      <c r="D623" s="1308" t="s">
        <v>1111</v>
      </c>
      <c r="E623" s="1308"/>
      <c r="F623" s="1308"/>
      <c r="I623" s="490"/>
    </row>
    <row r="624" spans="1:9">
      <c r="C624" s="500"/>
      <c r="D624" s="1308"/>
      <c r="E624" s="1308"/>
      <c r="F624" s="1308"/>
      <c r="I624" s="490"/>
    </row>
    <row r="625" spans="1:9">
      <c r="C625" s="500"/>
      <c r="I625" s="490"/>
    </row>
    <row r="626" spans="1:9">
      <c r="B626" s="485" t="s">
        <v>2611</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2699</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4">
      <c r="A640" s="484"/>
      <c r="B640" s="485" t="s">
        <v>2611</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4">
      <c r="A643" s="484"/>
      <c r="B643" s="485" t="s">
        <v>2611</v>
      </c>
      <c r="C643" s="487"/>
      <c r="D643" s="1283" t="s">
        <v>1224</v>
      </c>
      <c r="E643" s="1283"/>
      <c r="F643" s="1283"/>
      <c r="I643" s="490"/>
    </row>
    <row r="644" spans="1:9" ht="14.4">
      <c r="A644" s="484"/>
      <c r="B644" s="484"/>
      <c r="C644" s="487"/>
      <c r="D644" s="1283"/>
      <c r="E644" s="1283"/>
      <c r="F644" s="1283"/>
      <c r="I644" s="490"/>
    </row>
    <row r="645" spans="1:9" ht="14.4">
      <c r="A645" s="484"/>
      <c r="B645" s="484"/>
      <c r="C645" s="487"/>
      <c r="D645" s="1283"/>
      <c r="E645" s="1283"/>
      <c r="F645" s="1283"/>
      <c r="I645" s="490"/>
    </row>
    <row r="646" spans="1:9">
      <c r="A646" s="487"/>
      <c r="B646" s="485" t="s">
        <v>2611</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2699</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 customHeight="1">
      <c r="A657" s="484"/>
      <c r="B657" s="484"/>
      <c r="C657" s="487"/>
      <c r="D657" s="385"/>
      <c r="E657" s="385"/>
      <c r="F657" s="385"/>
      <c r="I657" s="490"/>
    </row>
    <row r="658" spans="1:9" ht="12.75" customHeight="1">
      <c r="A658" s="483"/>
      <c r="B658" s="485" t="s">
        <v>2699</v>
      </c>
      <c r="C658" s="487"/>
      <c r="D658" s="1283" t="s">
        <v>1282</v>
      </c>
      <c r="E658" s="1283"/>
      <c r="F658" s="1283"/>
      <c r="I658" s="490"/>
    </row>
    <row r="659" spans="1:9" ht="14.4">
      <c r="A659" s="483"/>
      <c r="B659" s="484"/>
      <c r="C659" s="487"/>
      <c r="D659" s="1283"/>
      <c r="E659" s="1283"/>
      <c r="F659" s="1283"/>
      <c r="I659" s="490"/>
    </row>
    <row r="660" spans="1:9" ht="14.4">
      <c r="A660" s="483"/>
      <c r="B660" s="484"/>
      <c r="C660" s="487"/>
      <c r="D660" s="1283"/>
      <c r="E660" s="1283"/>
      <c r="F660" s="1283"/>
      <c r="I660" s="490"/>
    </row>
    <row r="661" spans="1:9" ht="14.4">
      <c r="A661" s="483"/>
      <c r="B661" s="484"/>
      <c r="C661" s="487"/>
      <c r="D661" s="1283"/>
      <c r="E661" s="1283"/>
      <c r="F661" s="1283"/>
      <c r="I661" s="490"/>
    </row>
    <row r="662" spans="1:9" ht="14.4">
      <c r="A662" s="483"/>
      <c r="B662" s="484"/>
      <c r="C662" s="487"/>
      <c r="D662" s="1283"/>
      <c r="E662" s="1283"/>
      <c r="F662" s="1283"/>
      <c r="I662" s="490"/>
    </row>
    <row r="663" spans="1:9" ht="14.25" customHeight="1">
      <c r="A663" s="483"/>
      <c r="B663" s="484"/>
      <c r="C663" s="487"/>
      <c r="F663" s="386"/>
      <c r="I663" s="490"/>
    </row>
    <row r="664" spans="1:9" ht="12.75" customHeight="1">
      <c r="A664" s="483"/>
      <c r="B664" s="485" t="s">
        <v>2699</v>
      </c>
      <c r="C664" s="487"/>
      <c r="D664" s="1283" t="s">
        <v>1281</v>
      </c>
      <c r="E664" s="1283"/>
      <c r="F664" s="1283"/>
      <c r="I664" s="490"/>
    </row>
    <row r="665" spans="1:9" ht="14.4">
      <c r="A665" s="483"/>
      <c r="B665" s="484"/>
      <c r="C665" s="487"/>
      <c r="D665" s="1283"/>
      <c r="E665" s="1283"/>
      <c r="F665" s="1283"/>
      <c r="I665" s="490"/>
    </row>
    <row r="666" spans="1:9" ht="14.4">
      <c r="A666" s="484"/>
      <c r="B666" s="484"/>
      <c r="C666" s="487"/>
      <c r="D666" s="1283"/>
      <c r="E666" s="1283"/>
      <c r="F666" s="1283"/>
      <c r="I666" s="490"/>
    </row>
    <row r="667" spans="1:9" ht="14.4">
      <c r="A667" s="484"/>
      <c r="B667" s="484"/>
      <c r="C667" s="487"/>
      <c r="D667" s="1283"/>
      <c r="E667" s="1283"/>
      <c r="F667" s="1283"/>
      <c r="I667" s="490"/>
    </row>
    <row r="668" spans="1:9" ht="14.4">
      <c r="A668" s="484"/>
      <c r="B668" s="484"/>
      <c r="C668" s="487"/>
      <c r="D668" s="445"/>
      <c r="E668" s="445"/>
      <c r="F668" s="445"/>
      <c r="I668" s="490"/>
    </row>
    <row r="669" spans="1:9" ht="12.75" customHeight="1">
      <c r="A669" s="483"/>
      <c r="B669" s="485" t="s">
        <v>2611</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ht="14.4">
      <c r="A685" s="484"/>
      <c r="B685" s="485" t="s">
        <v>2699</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2611</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4">
      <c r="A694" s="484"/>
      <c r="B694" s="485" t="s">
        <v>2611</v>
      </c>
      <c r="C694" s="483"/>
      <c r="D694" s="1284" t="s">
        <v>916</v>
      </c>
      <c r="E694" s="1284"/>
      <c r="F694" s="1284"/>
      <c r="H694" s="501"/>
      <c r="I694" s="483"/>
      <c r="J694" s="501"/>
      <c r="K694" s="501"/>
    </row>
    <row r="695" spans="1:11" ht="14.4">
      <c r="A695" s="484"/>
      <c r="B695" s="484"/>
      <c r="C695" s="483"/>
      <c r="D695" s="1284" t="s">
        <v>893</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2611</v>
      </c>
      <c r="C698" s="483"/>
      <c r="D698" s="1284" t="s">
        <v>2469</v>
      </c>
      <c r="E698" s="1284"/>
      <c r="F698" s="1284"/>
      <c r="H698" s="501"/>
      <c r="I698" s="483"/>
      <c r="J698" s="501"/>
      <c r="K698" s="501"/>
    </row>
    <row r="699" spans="1:11" ht="14.4">
      <c r="A699" s="484"/>
      <c r="B699" s="484"/>
      <c r="C699" s="483"/>
      <c r="D699" s="1284" t="s">
        <v>893</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4">
      <c r="A702" s="484"/>
      <c r="B702" s="485" t="s">
        <v>2699</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2699</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4">
      <c r="A712" s="484"/>
      <c r="B712" s="485" t="s">
        <v>2611</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2611</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2611</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2611</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4">
      <c r="A738" s="484"/>
      <c r="B738" s="485" t="s">
        <v>2611</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4">
      <c r="A744" s="484"/>
      <c r="B744" s="485" t="s">
        <v>2611</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65"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ht="14.4">
      <c r="A758" s="484"/>
      <c r="B758" s="485" t="s">
        <v>2699</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4">
      <c r="A765" s="503"/>
      <c r="B765" s="485" t="s">
        <v>2699</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4">
      <c r="A770" s="484"/>
      <c r="B770" s="485" t="s">
        <v>2699</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4">
      <c r="A774" s="484"/>
      <c r="B774" s="485" t="s">
        <v>2611</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2611</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2699</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2611</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4">
      <c r="A794" s="175"/>
      <c r="B794" s="485" t="s">
        <v>2611</v>
      </c>
      <c r="C794" s="989"/>
      <c r="D794" s="1316" t="s">
        <v>1757</v>
      </c>
      <c r="E794" s="1316"/>
      <c r="F794" s="1316"/>
      <c r="G794" s="988"/>
      <c r="I794" s="483"/>
    </row>
    <row r="795" spans="1:9" ht="14.4">
      <c r="A795" s="175"/>
      <c r="B795" s="175"/>
      <c r="C795" s="989"/>
      <c r="D795" s="1316"/>
      <c r="E795" s="1316"/>
      <c r="F795" s="1316"/>
      <c r="G795" s="988"/>
      <c r="I795" s="490"/>
    </row>
    <row r="796" spans="1:9" ht="14.4">
      <c r="A796" s="175"/>
      <c r="B796" s="175"/>
      <c r="C796" s="989"/>
      <c r="D796" s="1316"/>
      <c r="E796" s="1316"/>
      <c r="F796" s="1316"/>
      <c r="G796" s="988"/>
      <c r="I796" s="490"/>
    </row>
    <row r="797" spans="1:9" ht="14.4">
      <c r="A797" s="175"/>
      <c r="B797" s="175"/>
      <c r="C797" s="989"/>
      <c r="D797" s="118"/>
      <c r="E797" s="3"/>
      <c r="F797" s="3"/>
      <c r="G797" s="988"/>
      <c r="I797" s="490"/>
    </row>
    <row r="798" spans="1:9" ht="14.4">
      <c r="A798" s="175"/>
      <c r="B798" s="485" t="s">
        <v>2611</v>
      </c>
      <c r="C798" s="989"/>
      <c r="D798" s="1316" t="s">
        <v>1758</v>
      </c>
      <c r="E798" s="1316"/>
      <c r="F798" s="1316"/>
      <c r="G798" s="988"/>
      <c r="I798" s="483"/>
    </row>
    <row r="799" spans="1:9" ht="14.4">
      <c r="A799" s="175"/>
      <c r="B799" s="175"/>
      <c r="C799" s="989"/>
      <c r="D799" s="1316"/>
      <c r="E799" s="1316"/>
      <c r="F799" s="1316"/>
      <c r="G799" s="988"/>
      <c r="I799" s="490"/>
    </row>
    <row r="800" spans="1:9" ht="14.4">
      <c r="A800" s="175"/>
      <c r="B800" s="175"/>
      <c r="C800" s="989"/>
      <c r="D800" s="1316"/>
      <c r="E800" s="1316"/>
      <c r="F800" s="1316"/>
      <c r="G800" s="988"/>
      <c r="I800" s="490"/>
    </row>
    <row r="801" spans="1:9" ht="14.4">
      <c r="A801" s="175"/>
      <c r="B801" s="175"/>
      <c r="C801" s="989"/>
      <c r="D801" s="1316"/>
      <c r="E801" s="1316"/>
      <c r="F801" s="1316"/>
      <c r="G801" s="988"/>
      <c r="I801" s="490"/>
    </row>
    <row r="802" spans="1:9" ht="14.4">
      <c r="A802" s="175"/>
      <c r="B802" s="175"/>
      <c r="C802" s="989"/>
      <c r="D802" s="1316"/>
      <c r="E802" s="1316"/>
      <c r="F802" s="1316"/>
      <c r="G802" s="988"/>
      <c r="I802" s="490"/>
    </row>
    <row r="803" spans="1:9" ht="14.4">
      <c r="A803" s="175"/>
      <c r="B803" s="175"/>
      <c r="C803" s="989"/>
      <c r="D803" s="1316"/>
      <c r="E803" s="1316"/>
      <c r="F803" s="1316"/>
      <c r="G803" s="988"/>
      <c r="I803" s="490"/>
    </row>
    <row r="804" spans="1:9" ht="14.4">
      <c r="A804" s="175"/>
      <c r="B804" s="175"/>
      <c r="C804" s="989"/>
      <c r="D804" s="1316" t="s">
        <v>1801</v>
      </c>
      <c r="E804" s="1316"/>
      <c r="F804" s="1316"/>
      <c r="G804" s="988"/>
      <c r="I804" s="490"/>
    </row>
    <row r="805" spans="1:9" ht="14.4">
      <c r="A805" s="175"/>
      <c r="B805" s="175"/>
      <c r="C805" s="989"/>
      <c r="D805" s="1316"/>
      <c r="E805" s="1316"/>
      <c r="F805" s="1316"/>
      <c r="G805" s="988"/>
      <c r="I805" s="490"/>
    </row>
    <row r="806" spans="1:9" ht="14.4">
      <c r="A806" s="175"/>
      <c r="B806" s="175"/>
      <c r="C806" s="989"/>
      <c r="D806" s="1316"/>
      <c r="E806" s="1316"/>
      <c r="F806" s="1316"/>
      <c r="G806" s="988"/>
      <c r="I806" s="490"/>
    </row>
    <row r="807" spans="1:9" ht="14.4">
      <c r="A807" s="175"/>
      <c r="B807" s="354"/>
      <c r="C807" s="989"/>
      <c r="D807" s="990"/>
      <c r="E807" s="990"/>
      <c r="F807" s="990"/>
      <c r="G807" s="988"/>
      <c r="I807" s="490"/>
    </row>
    <row r="808" spans="1:9" ht="14.4">
      <c r="A808" s="175"/>
      <c r="B808" s="485" t="s">
        <v>2611</v>
      </c>
      <c r="C808" s="989"/>
      <c r="D808" s="1316" t="s">
        <v>1759</v>
      </c>
      <c r="E808" s="1316"/>
      <c r="F808" s="1316"/>
      <c r="G808" s="988"/>
      <c r="I808" s="483"/>
    </row>
    <row r="809" spans="1:9" ht="14.4">
      <c r="A809" s="175"/>
      <c r="B809" s="175"/>
      <c r="C809" s="989"/>
      <c r="D809" s="1316"/>
      <c r="E809" s="1316"/>
      <c r="F809" s="1316"/>
      <c r="G809" s="988"/>
      <c r="I809" s="490"/>
    </row>
    <row r="810" spans="1:9" ht="14.4">
      <c r="A810" s="175"/>
      <c r="B810" s="175"/>
      <c r="C810" s="989"/>
      <c r="D810" s="1316"/>
      <c r="E810" s="1316"/>
      <c r="F810" s="1316"/>
      <c r="G810" s="988"/>
      <c r="I810" s="490"/>
    </row>
    <row r="811" spans="1:9" ht="14.4">
      <c r="A811" s="175"/>
      <c r="B811" s="175"/>
      <c r="C811" s="989"/>
      <c r="D811" s="1316"/>
      <c r="E811" s="1316"/>
      <c r="F811" s="1316"/>
      <c r="G811" s="988"/>
      <c r="I811" s="490"/>
    </row>
    <row r="812" spans="1:9" ht="14.4">
      <c r="A812" s="175"/>
      <c r="B812" s="175"/>
      <c r="C812" s="989"/>
      <c r="D812" s="1316"/>
      <c r="E812" s="1316"/>
      <c r="F812" s="1316"/>
      <c r="G812" s="988"/>
      <c r="I812" s="490"/>
    </row>
    <row r="813" spans="1:9" ht="14.4">
      <c r="A813" s="175"/>
      <c r="B813" s="175"/>
      <c r="C813" s="989"/>
      <c r="D813" s="1316"/>
      <c r="E813" s="1316"/>
      <c r="F813" s="1316"/>
      <c r="G813" s="988"/>
      <c r="I813" s="490"/>
    </row>
    <row r="814" spans="1:9" ht="14.4">
      <c r="A814" s="175"/>
      <c r="B814" s="175"/>
      <c r="C814" s="989"/>
      <c r="D814" s="982"/>
      <c r="E814" s="982"/>
      <c r="F814" s="982"/>
      <c r="G814" s="988"/>
      <c r="I814" s="490"/>
    </row>
    <row r="815" spans="1:9" ht="14.4">
      <c r="A815" s="175"/>
      <c r="B815" s="485" t="s">
        <v>2611</v>
      </c>
      <c r="C815" s="989"/>
      <c r="D815" s="1316" t="s">
        <v>1760</v>
      </c>
      <c r="E815" s="1316"/>
      <c r="F815" s="1316"/>
      <c r="G815" s="988"/>
      <c r="I815" s="483"/>
    </row>
    <row r="816" spans="1:9" ht="14.4">
      <c r="A816" s="175"/>
      <c r="B816" s="175"/>
      <c r="C816" s="989"/>
      <c r="D816" s="1316"/>
      <c r="E816" s="1316"/>
      <c r="F816" s="1316"/>
      <c r="G816" s="988"/>
      <c r="I816" s="490"/>
    </row>
    <row r="817" spans="1:9" ht="14.4">
      <c r="A817" s="175"/>
      <c r="B817" s="175"/>
      <c r="C817" s="989"/>
      <c r="D817" s="1316"/>
      <c r="E817" s="1316"/>
      <c r="F817" s="1316"/>
      <c r="G817" s="988"/>
      <c r="I817" s="490"/>
    </row>
    <row r="818" spans="1:9" ht="14.4">
      <c r="A818" s="175"/>
      <c r="B818" s="175"/>
      <c r="C818" s="989"/>
      <c r="D818" s="1316"/>
      <c r="E818" s="1316"/>
      <c r="F818" s="1316"/>
      <c r="G818" s="988"/>
      <c r="I818" s="490"/>
    </row>
    <row r="819" spans="1:9" ht="14.4">
      <c r="A819" s="175"/>
      <c r="B819" s="175"/>
      <c r="C819" s="989"/>
      <c r="D819" s="1316"/>
      <c r="E819" s="1316"/>
      <c r="F819" s="1316"/>
      <c r="G819" s="988"/>
      <c r="I819" s="490"/>
    </row>
    <row r="820" spans="1:9" ht="14.4">
      <c r="A820" s="175"/>
      <c r="B820" s="175"/>
      <c r="C820" s="989"/>
      <c r="D820" s="1316"/>
      <c r="E820" s="1316"/>
      <c r="F820" s="1316"/>
      <c r="G820" s="988"/>
      <c r="I820" s="490"/>
    </row>
    <row r="821" spans="1:9" ht="14.4">
      <c r="A821" s="175"/>
      <c r="B821" s="175"/>
      <c r="C821" s="989"/>
      <c r="D821" s="982"/>
      <c r="E821" s="982"/>
      <c r="F821" s="982"/>
      <c r="G821" s="988"/>
      <c r="I821" s="490"/>
    </row>
    <row r="822" spans="1:9" ht="14.4">
      <c r="A822" s="175"/>
      <c r="B822" s="485" t="s">
        <v>2611</v>
      </c>
      <c r="C822" s="989"/>
      <c r="D822" s="1288" t="s">
        <v>1761</v>
      </c>
      <c r="E822" s="1288"/>
      <c r="F822" s="1288"/>
      <c r="G822" s="988"/>
      <c r="I822" s="483"/>
    </row>
    <row r="823" spans="1:9" ht="14.4">
      <c r="A823" s="175"/>
      <c r="B823" s="175"/>
      <c r="C823" s="989"/>
      <c r="D823" s="1288"/>
      <c r="E823" s="1288"/>
      <c r="F823" s="1288"/>
      <c r="G823" s="988"/>
      <c r="I823" s="490"/>
    </row>
    <row r="824" spans="1:9">
      <c r="A824" s="13"/>
      <c r="B824" s="13"/>
      <c r="C824" s="989"/>
      <c r="D824" s="1288"/>
      <c r="E824" s="1288"/>
      <c r="F824" s="1288"/>
      <c r="G824" s="988"/>
      <c r="I824" s="490"/>
    </row>
    <row r="825" spans="1:9" ht="14.4">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2699</v>
      </c>
      <c r="C834" s="989"/>
      <c r="D834" s="1260" t="s">
        <v>1764</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2699</v>
      </c>
      <c r="C848" s="989"/>
      <c r="D848" s="1260" t="s">
        <v>1765</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2611</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2611</v>
      </c>
      <c r="C861" s="989"/>
      <c r="D861" s="1260" t="s">
        <v>1767</v>
      </c>
      <c r="E861" s="1260"/>
      <c r="F861" s="1260"/>
      <c r="G861" s="3"/>
      <c r="I861" s="490" t="s">
        <v>1880</v>
      </c>
    </row>
    <row r="862" spans="1:9" ht="12.75" customHeight="1">
      <c r="A862" s="175"/>
      <c r="B862" s="175"/>
      <c r="C862" s="989"/>
      <c r="D862" s="1260" t="s">
        <v>1768</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2611</v>
      </c>
      <c r="C865" s="989"/>
      <c r="D865" s="1260" t="s">
        <v>1769</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2699</v>
      </c>
      <c r="C875" s="354"/>
      <c r="D875" s="1300" t="s">
        <v>1772</v>
      </c>
      <c r="E875" s="1300"/>
      <c r="F875" s="1300"/>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2699</v>
      </c>
      <c r="C878" s="354"/>
      <c r="D878" s="1260"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2611</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2611</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2611</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2699</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2699</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2699</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2611</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2611</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2611</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2611</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2699</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2699</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2699</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2611</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2699</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2611</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2699</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2699</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2611</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2611</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2699</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2611</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2699</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2611</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2611</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2611</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2611</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2611</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2699</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306</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2611</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2611</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2699</v>
      </c>
      <c r="C1062" s="402"/>
      <c r="D1062" s="402" t="s">
        <v>1811</v>
      </c>
      <c r="I1062" s="490"/>
    </row>
    <row r="1063" spans="1:9">
      <c r="A1063" s="402"/>
      <c r="B1063" s="402"/>
      <c r="C1063" s="402"/>
      <c r="I1063" s="490"/>
    </row>
    <row r="1064" spans="1:9">
      <c r="A1064" s="402"/>
      <c r="B1064" s="485" t="s">
        <v>2611</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2699</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2611</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2611</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2611</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2611</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2611</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2611</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2611</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2611</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2699</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2699</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A29" sqref="A29:AT31"/>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Bay Area ((Alameda, Contra Costa, Marin, San Francisco, San Mateo, Santa Clara, and Santa Cruz Counties)</v>
      </c>
    </row>
    <row r="4" spans="1:58" ht="12.9" customHeight="1">
      <c r="BD4" s="3" t="s">
        <v>2507</v>
      </c>
      <c r="BE4" s="1246"/>
    </row>
    <row r="5" spans="1:58" ht="12.9" customHeight="1">
      <c r="BD5" s="3" t="s">
        <v>2508</v>
      </c>
      <c r="BE5">
        <f>SUMIF($AC$718:$AC$752,"&lt;=20%",$G$718:G$752)</f>
        <v>0</v>
      </c>
      <c r="BF5" s="3" t="s">
        <v>2513</v>
      </c>
    </row>
    <row r="6" spans="1:58" ht="12.9" customHeight="1">
      <c r="BD6" s="3" t="s">
        <v>2509</v>
      </c>
      <c r="BE6" s="1249">
        <f>SUMIF($AC$718:$AC$752,"&lt;=25%",$G$718:G$752)-SUM($BE$5:BE5)</f>
        <v>0</v>
      </c>
    </row>
    <row r="7" spans="1:58" ht="12.9" customHeight="1">
      <c r="BD7" s="1247" t="s">
        <v>2501</v>
      </c>
      <c r="BE7" s="1249">
        <f>SUMIF($AC$718:$AC$752,"&lt;=30%",$G$718:G$752)-SUM($BE$5:BE6)</f>
        <v>31</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49">
        <f>SUMIF($AC$718:$AC$752,"&lt;=35%",$G$718:G$752)-SUM($BE$5:BE7)</f>
        <v>0</v>
      </c>
    </row>
    <row r="9" spans="1:58" ht="12.9" customHeight="1">
      <c r="A9" s="1839" t="s">
        <v>2076</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2502</v>
      </c>
      <c r="BE9" s="1249">
        <f>SUMIF($AC$718:$AC$752,"&lt;=40%",$G$718:G$752)-SUM($BE$5:BE8)</f>
        <v>0</v>
      </c>
    </row>
    <row r="10" spans="1:58" ht="12.9"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49">
        <f>SUMIF($AC$718:$AC$752,"&lt;=45%",$G$718:G$752)-SUM($BE$5:BE9)</f>
        <v>0</v>
      </c>
    </row>
    <row r="11" spans="1:58" ht="12.9"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2503</v>
      </c>
      <c r="BE11" s="1249">
        <f>SUMIF($AC$718:$AC$752,"&lt;=50%",$G$718:G$752)-SUM($BE$5:BE10)</f>
        <v>14</v>
      </c>
    </row>
    <row r="12" spans="1:58" ht="12.9" customHeight="1">
      <c r="A12" s="1840" t="s">
        <v>2610</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49">
        <f>SUMIF($AC$718:$AC$752,"&lt;=55%",$G$718:G$752)-SUM($BE$5:BE11)</f>
        <v>0</v>
      </c>
    </row>
    <row r="13" spans="1:58" ht="12.9"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44</v>
      </c>
    </row>
    <row r="14" spans="1:58" ht="12.9"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 customHeight="1">
      <c r="A16" s="57" t="s">
        <v>2078</v>
      </c>
      <c r="C16" s="4"/>
      <c r="D16" s="4"/>
      <c r="E16" s="4"/>
      <c r="F16" s="4"/>
      <c r="G16" s="4"/>
      <c r="H16" s="1568" t="s">
        <v>2612</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655</v>
      </c>
      <c r="BE16" s="1249" t="str">
        <f>Application!H18</f>
        <v>525 Water Street</v>
      </c>
    </row>
    <row r="17" spans="1:58" ht="12.9" customHeight="1">
      <c r="BD17" s="1247" t="s">
        <v>2519</v>
      </c>
      <c r="BE17" s="1249">
        <f>Application!AA934</f>
        <v>0</v>
      </c>
    </row>
    <row r="18" spans="1:58" ht="12.9" customHeight="1">
      <c r="A18" s="57" t="s">
        <v>101</v>
      </c>
      <c r="C18" s="4"/>
      <c r="D18" s="4"/>
      <c r="E18" s="4"/>
      <c r="F18" s="4"/>
      <c r="G18" s="4"/>
      <c r="H18" s="1523" t="s">
        <v>2613</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2520</v>
      </c>
      <c r="BE18" s="1249">
        <f>'CalHFA Addendum'!N11</f>
        <v>0</v>
      </c>
    </row>
    <row r="19" spans="1:58" ht="12.9" customHeight="1">
      <c r="BD19" s="1247" t="s">
        <v>2521</v>
      </c>
      <c r="BE19" s="1249">
        <f>Application!M26</f>
        <v>4230896</v>
      </c>
    </row>
    <row r="20" spans="1:58" ht="12.9" customHeight="1">
      <c r="A20" s="1841" t="s">
        <v>872</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2522</v>
      </c>
      <c r="BE20" s="1249">
        <f>Application!M27</f>
        <v>4755237</v>
      </c>
    </row>
    <row r="21" spans="1:58" ht="12.9" customHeight="1">
      <c r="A21" s="1844" t="s">
        <v>1008</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2523</v>
      </c>
      <c r="BE21" s="1249">
        <f>Application!AM554</f>
        <v>47076397</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94872063</v>
      </c>
      <c r="BF22" s="3" t="s">
        <v>2596</v>
      </c>
    </row>
    <row r="23" spans="1:58" ht="12.9"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7400000</v>
      </c>
    </row>
    <row r="24" spans="1:58"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88109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 customHeight="1">
      <c r="A26" s="4"/>
      <c r="C26" s="4"/>
      <c r="D26" s="4"/>
      <c r="E26" s="4"/>
      <c r="F26" s="4"/>
      <c r="G26" s="4"/>
      <c r="H26" s="4"/>
      <c r="I26" s="4"/>
      <c r="J26" s="4"/>
      <c r="K26" s="4"/>
      <c r="L26" s="4"/>
      <c r="M26" s="1843">
        <f>'Basis &amp; Credits'!AB56</f>
        <v>4230896</v>
      </c>
      <c r="N26" s="1843"/>
      <c r="O26" s="1843"/>
      <c r="P26" s="1843"/>
      <c r="Q26" s="1843"/>
      <c r="R26" s="4" t="s">
        <v>758</v>
      </c>
      <c r="S26" s="4"/>
      <c r="T26" s="4"/>
      <c r="U26" s="4"/>
      <c r="V26" s="4"/>
      <c r="W26" s="4"/>
      <c r="X26" s="4"/>
      <c r="Y26" s="4"/>
      <c r="Z26" s="4"/>
      <c r="AF26" s="4"/>
      <c r="AG26" s="4"/>
      <c r="AH26" s="4"/>
      <c r="AI26" s="4"/>
      <c r="AJ26" s="4"/>
      <c r="AK26" s="4"/>
      <c r="BD26" s="1248" t="s">
        <v>1638</v>
      </c>
      <c r="BE26" s="1249" t="b">
        <f>Application!M356="Yes"</f>
        <v>0</v>
      </c>
    </row>
    <row r="27" spans="1:58" ht="12.9" customHeight="1">
      <c r="A27" s="4"/>
      <c r="C27" s="4"/>
      <c r="D27" s="4"/>
      <c r="E27" s="4"/>
      <c r="F27" s="4"/>
      <c r="G27" s="4"/>
      <c r="H27" s="4"/>
      <c r="I27" s="4"/>
      <c r="J27" s="4"/>
      <c r="K27" s="4"/>
      <c r="L27" s="4"/>
      <c r="M27" s="1359">
        <f>'Basis &amp; Credits'!AB78</f>
        <v>4755237</v>
      </c>
      <c r="N27" s="1359"/>
      <c r="O27" s="1359"/>
      <c r="P27" s="1359"/>
      <c r="Q27" s="1359"/>
      <c r="R27" s="3" t="s">
        <v>1266</v>
      </c>
      <c r="S27" s="4"/>
      <c r="T27" s="4"/>
      <c r="U27" s="4"/>
      <c r="V27" s="4"/>
      <c r="W27" s="4"/>
      <c r="X27" s="4"/>
      <c r="Y27" s="4"/>
      <c r="Z27" s="4"/>
      <c r="AF27" s="4"/>
      <c r="AG27" s="4"/>
      <c r="AH27" s="4"/>
      <c r="AI27" s="4"/>
      <c r="AJ27" s="4"/>
      <c r="AK27" s="4"/>
      <c r="BD27" s="1247" t="s">
        <v>2098</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 customHeight="1">
      <c r="A29" s="1538" t="s">
        <v>2147</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2528</v>
      </c>
      <c r="BE29" s="1249"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1</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2529</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23</v>
      </c>
    </row>
    <row r="33" spans="1:57" ht="12.9" customHeight="1">
      <c r="A33" s="519" t="s">
        <v>1277</v>
      </c>
      <c r="C33" s="519"/>
      <c r="D33" s="519"/>
      <c r="E33" s="519"/>
      <c r="F33" s="519"/>
      <c r="G33" s="519"/>
      <c r="H33" s="519"/>
      <c r="I33" s="519"/>
      <c r="J33" s="519"/>
      <c r="K33" s="519"/>
      <c r="L33" s="519"/>
      <c r="M33" s="519"/>
      <c r="N33" s="519"/>
      <c r="O33" s="1415" t="s">
        <v>544</v>
      </c>
      <c r="P33" s="1415"/>
      <c r="Q33" s="1842" t="s">
        <v>2148</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2597</v>
      </c>
      <c r="BE33" s="1249" t="str">
        <f>Application!D220</f>
        <v>Central Coast Region: Monterey, San Luis Obispo, Santa Barbara, Santa Cruz, and Ventura Counties</v>
      </c>
    </row>
    <row r="34" spans="1:57" ht="12.9" customHeight="1">
      <c r="A34" s="1538" t="s">
        <v>2149</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2531</v>
      </c>
      <c r="BE34" s="1249" t="str">
        <f>Application!I185</f>
        <v>525 Water Street</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2532</v>
      </c>
      <c r="BE35" s="1249"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2533</v>
      </c>
      <c r="BE36" s="1249" t="str">
        <f>Application!I189</f>
        <v>Santa Cruz</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2534</v>
      </c>
      <c r="BE37" s="1249" t="str">
        <f>Application!T189</f>
        <v>Santa Cruz</v>
      </c>
    </row>
    <row r="38" spans="1:57" ht="12.9" customHeight="1">
      <c r="A38" s="3"/>
      <c r="AZ38" s="20"/>
      <c r="BD38" s="1248" t="s">
        <v>2535</v>
      </c>
      <c r="BE38" s="1249">
        <f>Application!I190</f>
        <v>95060</v>
      </c>
    </row>
    <row r="39" spans="1:57" ht="12.9"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90</v>
      </c>
    </row>
    <row r="40" spans="1:57" ht="12.9"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89</v>
      </c>
    </row>
    <row r="41" spans="1:57" ht="12.9"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0.47977528089887633</v>
      </c>
    </row>
    <row r="43" spans="1:57" ht="12.9"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0.47977680411279661</v>
      </c>
    </row>
    <row r="44" spans="1:57" ht="12.9"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1054134.0333333334</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Zen Development LLC</v>
      </c>
    </row>
    <row r="49" spans="1:57"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Zen Sawyer</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f>Application!AA249</f>
        <v>0</v>
      </c>
    </row>
    <row r="51" spans="1:57" ht="12.9"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Kingdom AN, LLC</v>
      </c>
    </row>
    <row r="52" spans="1:57" ht="12.9"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William Leach</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Kingdom Development, Inc</v>
      </c>
    </row>
    <row r="54" spans="1:57" ht="12.9"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2.9"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Zen Development LLC</v>
      </c>
    </row>
    <row r="58" spans="1:57" ht="12.9"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222 Redwood Drive</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Woodacre, CA 94973</v>
      </c>
    </row>
    <row r="60" spans="1:57" ht="12.9"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Zen Sawyer</v>
      </c>
    </row>
    <row r="61" spans="1:57" ht="12.9"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Zen@zendevelopment.org</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0.84001922996925471</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0.81991791366024447</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f>Application!X180</f>
        <v>0</v>
      </c>
    </row>
    <row r="65" spans="1:57" ht="12.9" customHeight="1">
      <c r="A65" s="1547" t="s">
        <v>2156</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7" t="s">
        <v>2594</v>
      </c>
      <c r="BE65" s="1249" t="str">
        <f>Z205</f>
        <v>$500M</v>
      </c>
    </row>
    <row r="66" spans="1:57" ht="12.9"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8" t="s">
        <v>2559</v>
      </c>
      <c r="BE66" s="1249" t="b">
        <f>Application!Z205="State Farmworker Credit"</f>
        <v>0</v>
      </c>
    </row>
    <row r="67" spans="1:57" ht="12.9"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7" t="s">
        <v>2560</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 customHeight="1">
      <c r="A69" s="1547" t="s">
        <v>2157</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7" t="s">
        <v>2562</v>
      </c>
      <c r="BE69" s="1249" t="str">
        <f>Application!W700</f>
        <v>California Municipal Finance Authority</v>
      </c>
    </row>
    <row r="70" spans="1:57" ht="12.9"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8" t="s">
        <v>2563</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 customHeight="1">
      <c r="A72" s="1538" t="s">
        <v>2158</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2565</v>
      </c>
      <c r="BE72" s="1249">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2566</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 customHeight="1">
      <c r="A75" s="1546" t="s">
        <v>2159</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7" t="s">
        <v>2568</v>
      </c>
      <c r="BE75" s="1249">
        <f>'Points System'!AF808</f>
        <v>10</v>
      </c>
    </row>
    <row r="76" spans="1:57" ht="12.9"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8" t="s">
        <v>2569</v>
      </c>
      <c r="BE76" s="1249">
        <f>'Points System'!AF811</f>
        <v>10</v>
      </c>
    </row>
    <row r="77" spans="1:57" ht="12.9"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7" t="s">
        <v>2570</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 customHeight="1">
      <c r="A79" s="1547" t="s">
        <v>2160</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7" t="s">
        <v>2572</v>
      </c>
      <c r="BE79" s="1249">
        <f>'Points System'!AF815</f>
        <v>10</v>
      </c>
    </row>
    <row r="80" spans="1:57" ht="12.9"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8" t="s">
        <v>2573</v>
      </c>
      <c r="BE80" s="1249">
        <f>'Points System'!AF817</f>
        <v>10</v>
      </c>
    </row>
    <row r="81" spans="1:57" ht="12.9"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7" t="s">
        <v>2574</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1.22996127444714</v>
      </c>
    </row>
    <row r="84" spans="1:57" ht="12.9"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Santa Cruz Redevelopment Agency</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Ms. Bonnie Lopscomb</v>
      </c>
    </row>
    <row r="86" spans="1:57" ht="12.9"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Executive Director</v>
      </c>
    </row>
    <row r="87" spans="1:57" ht="12.9"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337 Locust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Santa Cruz</v>
      </c>
    </row>
    <row r="89" spans="1:57" ht="12.9" customHeight="1">
      <c r="A89" s="1555" t="s">
        <v>2163</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2582</v>
      </c>
      <c r="BE89" s="1249">
        <f>Application!O158</f>
        <v>95060</v>
      </c>
    </row>
    <row r="90" spans="1:57" ht="12.9"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2583</v>
      </c>
      <c r="BE90" s="1249" t="str">
        <f>Application!H16</f>
        <v>Kingdom Development, Inc.</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6451 Box Springs Blvd.</v>
      </c>
    </row>
    <row r="92" spans="1:57" ht="12.9" customHeight="1">
      <c r="A92" s="1546" t="s">
        <v>2164</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8" t="s">
        <v>2585</v>
      </c>
      <c r="BE92" s="1249" t="str">
        <f>Application!M234</f>
        <v>Riverside</v>
      </c>
    </row>
    <row r="93" spans="1:57" ht="12.9"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7" t="s">
        <v>2586</v>
      </c>
      <c r="BE93" s="1249" t="str">
        <f>Application!W234</f>
        <v>CA</v>
      </c>
    </row>
    <row r="94" spans="1:57" ht="12.9"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8" t="s">
        <v>2587</v>
      </c>
      <c r="BE94" s="1249">
        <f>Application!AC234</f>
        <v>92507</v>
      </c>
    </row>
    <row r="95" spans="1:57" ht="12.9"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7" t="s">
        <v>2588</v>
      </c>
      <c r="BE95" s="1249" t="str">
        <f>Application!M235</f>
        <v>William Leach</v>
      </c>
    </row>
    <row r="96" spans="1:57" ht="12.9"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8" t="s">
        <v>2589</v>
      </c>
      <c r="BE96" s="1249" t="str">
        <f>Application!M237</f>
        <v>william@kingdomdevelopment.net</v>
      </c>
    </row>
    <row r="97" spans="1:57" ht="12.9"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7" t="s">
        <v>2590</v>
      </c>
      <c r="BE97" s="1249" t="str">
        <f>Application!M248</f>
        <v>zen@zendevelopment.org</v>
      </c>
    </row>
    <row r="98" spans="1:57" ht="12.9"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8" t="s">
        <v>2591</v>
      </c>
      <c r="BE98" s="1249" t="str">
        <f>Application!M256</f>
        <v>william@kingdomdevelopment.net</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 customHeight="1">
      <c r="A100" s="1556" t="s">
        <v>2165</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2593</v>
      </c>
      <c r="BE100" s="1249" t="str">
        <f>Application!L279</f>
        <v>William@kingdomdevelopment.org</v>
      </c>
    </row>
    <row r="101" spans="1:57" ht="12.9"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2598</v>
      </c>
      <c r="BE101">
        <f>'Sources and Uses Budget'!C105</f>
        <v>94872063</v>
      </c>
    </row>
    <row r="102" spans="1:57" ht="12.9"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2599</v>
      </c>
      <c r="BE102" t="b">
        <f>T197="Yes"</f>
        <v>0</v>
      </c>
    </row>
    <row r="103" spans="1:57" ht="12.9"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2175</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6" t="s">
        <v>2166</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180</v>
      </c>
      <c r="G113" s="1549">
        <v>12</v>
      </c>
      <c r="H113" s="1549"/>
      <c r="I113" s="3" t="s">
        <v>181</v>
      </c>
      <c r="L113" s="1549" t="s">
        <v>2682</v>
      </c>
      <c r="M113" s="1549"/>
      <c r="N113" s="1549"/>
      <c r="O113" s="1549"/>
      <c r="P113" s="1563" t="s">
        <v>2240</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0" t="s">
        <v>67</v>
      </c>
      <c r="D115" s="1550"/>
      <c r="E115" s="1550"/>
      <c r="F115" s="1550"/>
      <c r="G115" s="1550"/>
      <c r="H115" s="1550"/>
      <c r="I115" s="1550"/>
      <c r="J115" s="1550"/>
      <c r="K115" s="1550"/>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627</v>
      </c>
      <c r="Y117" s="1549"/>
      <c r="Z117" s="1549"/>
      <c r="AA117" s="1549"/>
      <c r="AB117" s="1549"/>
      <c r="AC117" s="1549"/>
      <c r="AD117" s="1549"/>
      <c r="AE117" s="1549"/>
      <c r="AF117" s="1549"/>
      <c r="AG117" s="1549"/>
      <c r="AH117" s="1549"/>
      <c r="AI117" s="1549"/>
      <c r="AJ117" s="1549"/>
      <c r="AK117" s="1549"/>
    </row>
    <row r="118" spans="1:117" ht="12.9" customHeight="1">
      <c r="X118" s="3"/>
      <c r="Y118" s="3"/>
      <c r="Z118" s="3" t="s">
        <v>628</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9" t="s">
        <v>2623</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6" t="s">
        <v>468</v>
      </c>
      <c r="CV122" s="1697"/>
      <c r="CW122" s="14"/>
      <c r="CX122" s="14" t="s">
        <v>633</v>
      </c>
      <c r="CY122" s="14"/>
      <c r="CZ122" s="14"/>
      <c r="DA122" s="14"/>
      <c r="DB122" s="14"/>
      <c r="DC122" s="14"/>
      <c r="DD122" s="14"/>
      <c r="DE122" s="14"/>
      <c r="DF122" s="14"/>
      <c r="DG122" s="1693" t="str">
        <f>T189</f>
        <v>Santa Cruz</v>
      </c>
      <c r="DH122" s="1694"/>
      <c r="DI122" s="1694"/>
      <c r="DJ122" s="1694"/>
      <c r="DK122" s="1694"/>
      <c r="DL122" s="1694"/>
      <c r="DM122" s="1695"/>
    </row>
    <row r="123" spans="1:117" ht="12.9" customHeight="1">
      <c r="A123" s="3"/>
      <c r="B123" s="3"/>
      <c r="T123" s="3"/>
      <c r="U123" s="3"/>
      <c r="V123" s="3"/>
      <c r="W123" s="3"/>
      <c r="X123" s="3"/>
      <c r="Y123" s="1549" t="s">
        <v>2683</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644</v>
      </c>
      <c r="O153" s="1523" t="s">
        <v>2614</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303" t="s">
        <v>439</v>
      </c>
      <c r="O154" s="1520" t="s">
        <v>2615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2468</v>
      </c>
      <c r="CR154" s="31"/>
      <c r="CS154" s="32"/>
      <c r="CT154" s="32"/>
      <c r="CU154" s="32"/>
      <c r="CV154" s="32"/>
      <c r="CW154" s="32"/>
      <c r="CX154" s="14"/>
      <c r="CY154" s="31"/>
      <c r="CZ154" s="14"/>
      <c r="DA154" s="14"/>
      <c r="DB154" s="14"/>
      <c r="DC154" s="14"/>
      <c r="DD154" s="14"/>
    </row>
    <row r="155" spans="1:108" ht="12.9" customHeight="1">
      <c r="D155" s="8" t="s">
        <v>440</v>
      </c>
      <c r="F155" s="8"/>
      <c r="G155" s="8"/>
      <c r="H155" s="8"/>
      <c r="I155" s="8"/>
      <c r="J155" s="8"/>
      <c r="K155" s="8"/>
      <c r="L155" s="8"/>
      <c r="M155" s="8"/>
      <c r="N155" s="8"/>
      <c r="O155" s="1534" t="s">
        <v>2616</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590</v>
      </c>
      <c r="CR155" s="31"/>
      <c r="CS155" s="32"/>
      <c r="CT155" s="32"/>
      <c r="CU155" s="32"/>
      <c r="CV155" s="32"/>
      <c r="CW155" s="32"/>
      <c r="CX155" s="14"/>
      <c r="CY155" s="31"/>
      <c r="CZ155" s="14"/>
      <c r="DA155" s="14"/>
      <c r="DB155" s="14"/>
      <c r="DC155" s="14"/>
      <c r="DD155" s="14"/>
    </row>
    <row r="156" spans="1:108" ht="12.9" customHeight="1">
      <c r="D156" t="s">
        <v>312</v>
      </c>
      <c r="O156" s="1407" t="s">
        <v>2617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523" t="s">
        <v>192</v>
      </c>
      <c r="P157" s="1527"/>
      <c r="Q157" s="1527"/>
      <c r="R157" s="1527"/>
      <c r="S157" s="1527"/>
      <c r="T157" s="1527"/>
      <c r="U157" s="1527"/>
      <c r="V157" s="1527"/>
      <c r="W157" s="1527"/>
      <c r="X157" s="1527"/>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59">
        <v>95060</v>
      </c>
      <c r="P158" s="1559"/>
      <c r="Q158" s="1559"/>
      <c r="R158" s="1559"/>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54">
        <v>8314205150</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 customHeight="1">
      <c r="D160" t="s">
        <v>316</v>
      </c>
      <c r="O160" s="1554">
        <v>8314205151</v>
      </c>
      <c r="P160" s="1554"/>
      <c r="Q160" s="1554"/>
      <c r="R160" s="1554"/>
      <c r="S160" s="1554"/>
      <c r="T160" s="1554"/>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 customHeight="1">
      <c r="D161" t="s">
        <v>317</v>
      </c>
      <c r="O161" s="1542" t="s">
        <v>2618</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 customHeight="1">
      <c r="C164" s="27"/>
      <c r="D164" s="1551" t="s">
        <v>2216</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 customHeight="1">
      <c r="A169" s="1537" t="s">
        <v>538</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 customHeight="1">
      <c r="C174" s="24"/>
      <c r="D174" s="3" t="s">
        <v>1201</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5" t="s">
        <v>544</v>
      </c>
      <c r="V175" s="1415"/>
      <c r="BB175" t="s">
        <v>1937</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2079</v>
      </c>
      <c r="T176" s="27" t="s">
        <v>304</v>
      </c>
      <c r="U176" s="1509"/>
      <c r="V176" s="1509"/>
      <c r="W176" s="1" t="s">
        <v>305</v>
      </c>
      <c r="X176" s="1567"/>
      <c r="Y176" s="1567"/>
      <c r="BB176" t="s">
        <v>1970</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5"/>
      <c r="S177" s="1415"/>
      <c r="BB177" t="s">
        <v>2213</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1202</v>
      </c>
      <c r="AA178" t="s">
        <v>2079</v>
      </c>
      <c r="AE178" s="27" t="s">
        <v>304</v>
      </c>
      <c r="AF178" s="1566"/>
      <c r="AG178" s="1566"/>
      <c r="AH178" s="1" t="s">
        <v>305</v>
      </c>
      <c r="AI178" s="1446"/>
      <c r="AJ178" s="1446"/>
      <c r="AK178" s="1446"/>
      <c r="BB178" t="s">
        <v>2214</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2080</v>
      </c>
      <c r="X180" s="1415"/>
      <c r="Y180" s="1415"/>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577</v>
      </c>
      <c r="I184" s="1483" t="str">
        <f>H18</f>
        <v>525 Water Street</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578</v>
      </c>
      <c r="I185" s="1371" t="s">
        <v>2613</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579</v>
      </c>
      <c r="I189" s="1523" t="s">
        <v>192</v>
      </c>
      <c r="J189" s="1407"/>
      <c r="K189" s="1407"/>
      <c r="L189" s="1407"/>
      <c r="M189" s="1407"/>
      <c r="N189" s="1407"/>
      <c r="O189" s="1407"/>
      <c r="P189" s="1407"/>
      <c r="Q189" t="s">
        <v>581</v>
      </c>
      <c r="T189" s="1407" t="s">
        <v>192</v>
      </c>
      <c r="U189" s="1407"/>
      <c r="V189" s="1407"/>
      <c r="W189" s="1407"/>
      <c r="X189" s="1407"/>
      <c r="Y189" s="1407"/>
      <c r="Z189" s="1407"/>
      <c r="AA189" s="1407"/>
      <c r="AB189" s="1407"/>
      <c r="AC189" s="1407"/>
      <c r="AD189" s="1407"/>
      <c r="AE189" s="1407"/>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582</v>
      </c>
      <c r="I190" s="1371">
        <v>95060</v>
      </c>
      <c r="J190" s="1371"/>
      <c r="K190" s="1371"/>
      <c r="L190" s="1371"/>
      <c r="M190" s="1371"/>
      <c r="N190" s="1371"/>
      <c r="O190" t="s">
        <v>584</v>
      </c>
      <c r="T190" s="1557" t="str">
        <f>"06087100200"</f>
        <v>06087100200</v>
      </c>
      <c r="U190" s="1557"/>
      <c r="V190" s="1557"/>
      <c r="W190" s="1557"/>
      <c r="X190" s="1557"/>
      <c r="Y190" s="1557"/>
      <c r="Z190" s="1557"/>
      <c r="AA190" s="1557"/>
      <c r="AB190" s="1557"/>
      <c r="AC190" s="1557"/>
      <c r="AD190" s="1557"/>
      <c r="AE190" s="1557"/>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461</v>
      </c>
      <c r="N191" s="1531" t="s">
        <v>2619</v>
      </c>
      <c r="O191" s="1531"/>
      <c r="P191" s="1531"/>
      <c r="Q191" s="1531"/>
      <c r="R191" s="1531"/>
      <c r="S191" s="1531"/>
      <c r="T191" s="1531"/>
      <c r="U191" s="1531"/>
      <c r="V191" s="1531"/>
      <c r="W191" s="1531"/>
      <c r="X191" s="1531"/>
      <c r="Y191" s="1531"/>
      <c r="Z191" s="1531"/>
      <c r="AA191" s="1531"/>
      <c r="AB191" s="1531"/>
      <c r="AC191" s="1531"/>
      <c r="AD191" s="1531"/>
      <c r="AE191" s="1531"/>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2081</v>
      </c>
      <c r="M193" s="40"/>
      <c r="N193" s="894"/>
      <c r="O193" s="894"/>
      <c r="P193" s="894"/>
      <c r="Q193" s="894"/>
      <c r="R193" s="894"/>
      <c r="S193" s="894"/>
      <c r="T193" s="1561" t="s">
        <v>1937</v>
      </c>
      <c r="U193" s="1561"/>
      <c r="V193" s="1561"/>
      <c r="W193" s="1561"/>
      <c r="X193" s="1561"/>
      <c r="Y193" s="1561"/>
      <c r="Z193" s="1561"/>
      <c r="AA193" s="1561"/>
      <c r="AB193" s="1561"/>
      <c r="AC193" s="1561"/>
      <c r="AD193" s="1561"/>
      <c r="AE193" s="1561"/>
      <c r="AF193" s="1561"/>
      <c r="AG193" s="1561"/>
      <c r="AH193" s="1561"/>
      <c r="AI193" s="1561"/>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 customHeight="1">
      <c r="C194" s="21"/>
      <c r="D194" s="3" t="s">
        <v>2215</v>
      </c>
      <c r="M194" s="40"/>
      <c r="N194" s="894"/>
      <c r="O194" s="894"/>
      <c r="P194" s="894"/>
      <c r="Q194" s="894"/>
      <c r="R194" s="894"/>
      <c r="S194" s="894"/>
      <c r="AH194" s="1415" t="s">
        <v>668</v>
      </c>
      <c r="AI194" s="1415"/>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 customHeight="1">
      <c r="C195" s="21"/>
      <c r="D195" t="s">
        <v>330</v>
      </c>
      <c r="T195" s="1415" t="s">
        <v>544</v>
      </c>
      <c r="U195" s="1415"/>
      <c r="W195" t="s">
        <v>683</v>
      </c>
      <c r="AH195" s="1415">
        <v>19</v>
      </c>
      <c r="AI195" s="1415"/>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 customHeight="1">
      <c r="C196" s="21"/>
      <c r="D196" t="s">
        <v>385</v>
      </c>
      <c r="T196" s="1427" t="s">
        <v>668</v>
      </c>
      <c r="U196" s="1427"/>
      <c r="W196" t="s">
        <v>684</v>
      </c>
      <c r="AH196" s="1415">
        <v>28</v>
      </c>
      <c r="AI196" s="1415"/>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 customHeight="1">
      <c r="C197" s="21"/>
      <c r="D197" s="3" t="s">
        <v>168</v>
      </c>
      <c r="T197" s="1427" t="s">
        <v>668</v>
      </c>
      <c r="U197" s="1427"/>
      <c r="W197" t="s">
        <v>685</v>
      </c>
      <c r="AH197" s="1415">
        <v>17</v>
      </c>
      <c r="AI197" s="1415"/>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 customHeight="1">
      <c r="A198"/>
      <c r="B198"/>
      <c r="C198" s="21"/>
      <c r="D198" s="3" t="s">
        <v>1651</v>
      </c>
      <c r="E198"/>
      <c r="F198"/>
      <c r="G198"/>
      <c r="H198"/>
      <c r="I198"/>
      <c r="J198"/>
      <c r="K198"/>
      <c r="L198"/>
      <c r="M198"/>
      <c r="N198"/>
      <c r="O198"/>
      <c r="P198"/>
      <c r="Q198"/>
      <c r="R198"/>
      <c r="S198"/>
      <c r="T198" s="1427">
        <v>0</v>
      </c>
      <c r="U198" s="1427"/>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5" t="s">
        <v>668</v>
      </c>
      <c r="U199" s="1415"/>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5" t="s">
        <v>668</v>
      </c>
      <c r="U200" s="1415"/>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 customHeight="1">
      <c r="D204" s="1483" t="s">
        <v>384</v>
      </c>
      <c r="E204" s="1483"/>
      <c r="F204" s="1483"/>
      <c r="G204" s="1483"/>
      <c r="H204" s="1483"/>
      <c r="I204" s="1483"/>
      <c r="J204" s="1483"/>
      <c r="K204" s="1483"/>
      <c r="L204" s="1483"/>
      <c r="M204" s="1483"/>
      <c r="P204" s="1552">
        <f>M26</f>
        <v>4230896</v>
      </c>
      <c r="Q204" s="1553"/>
      <c r="R204" s="1553"/>
      <c r="S204" s="1553"/>
      <c r="T204" s="1553"/>
      <c r="U204" s="1553"/>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 customHeight="1">
      <c r="C205" s="21"/>
      <c r="D205" s="1540" t="s">
        <v>1246</v>
      </c>
      <c r="E205" s="1483"/>
      <c r="F205" s="1483"/>
      <c r="G205" s="1483"/>
      <c r="H205" s="1483"/>
      <c r="I205" s="1483"/>
      <c r="J205" s="1483"/>
      <c r="K205" s="1483"/>
      <c r="L205" s="1483"/>
      <c r="M205" s="1483"/>
      <c r="P205" s="1553">
        <f>M27</f>
        <v>4755237</v>
      </c>
      <c r="Q205" s="1553"/>
      <c r="R205" s="1553"/>
      <c r="S205" s="1553"/>
      <c r="T205" s="1553"/>
      <c r="U205" s="1553"/>
      <c r="V205" s="28"/>
      <c r="W205" s="3" t="s">
        <v>1719</v>
      </c>
      <c r="Z205" s="1536" t="s">
        <v>2219</v>
      </c>
      <c r="AA205" s="1536"/>
      <c r="AB205" s="1536"/>
      <c r="AC205" s="1536"/>
      <c r="AD205" s="1536"/>
      <c r="AE205" s="1536"/>
      <c r="AF205" s="1536"/>
      <c r="AG205" s="1536"/>
      <c r="AH205" s="1536"/>
      <c r="AI205" s="1536"/>
      <c r="AJ205" s="1536"/>
      <c r="AK205" s="1536"/>
      <c r="AL205" s="1536"/>
      <c r="AM205" s="1536"/>
      <c r="AN205" s="1536"/>
      <c r="AP205" s="1405"/>
      <c r="AQ205" s="140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 customHeight="1">
      <c r="C208" s="21"/>
      <c r="D208" s="1527" t="s">
        <v>2620</v>
      </c>
      <c r="E208" s="1527"/>
      <c r="F208" s="1527"/>
      <c r="G208" s="1527"/>
      <c r="H208" s="1527"/>
      <c r="I208" s="1527"/>
      <c r="J208" s="1527"/>
      <c r="K208" s="1527"/>
      <c r="L208" s="1527"/>
      <c r="M208" s="152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589</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1040</v>
      </c>
      <c r="E211" s="1527"/>
      <c r="F211" s="1527"/>
      <c r="G211" s="1527"/>
      <c r="H211" s="1527"/>
      <c r="I211" s="1527"/>
      <c r="J211" s="1527"/>
      <c r="K211" s="1527"/>
      <c r="L211" s="1527"/>
      <c r="M211" s="152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5">
        <v>32</v>
      </c>
      <c r="R212" s="1415"/>
      <c r="T212" s="1564">
        <f>IFERROR(Q212/AG440,0)</f>
        <v>0.3595505617977528</v>
      </c>
      <c r="U212" s="1565"/>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2474</v>
      </c>
      <c r="BC213" t="s">
        <v>525</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8" t="s">
        <v>590</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529</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1652</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526</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1650</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565</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591</v>
      </c>
      <c r="C218" s="2" t="s">
        <v>2234</v>
      </c>
      <c r="D218" s="28"/>
      <c r="AC218" s="2" t="s">
        <v>2463</v>
      </c>
      <c r="BC218" t="s">
        <v>528</v>
      </c>
    </row>
    <row r="219" spans="1:108" ht="12.9" customHeight="1">
      <c r="A219" s="2"/>
      <c r="C219" s="2"/>
      <c r="D219" s="3" t="s">
        <v>2464</v>
      </c>
      <c r="AZ219" s="3"/>
      <c r="BA219" s="3"/>
      <c r="BC219" t="s">
        <v>376</v>
      </c>
    </row>
    <row r="220" spans="1:108" ht="12.9" customHeight="1">
      <c r="A220" s="2"/>
      <c r="C220" s="2"/>
      <c r="D220" s="1527" t="s">
        <v>2206</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2466</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539</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590</v>
      </c>
      <c r="AJ226" s="1415"/>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544</v>
      </c>
      <c r="AJ227" s="1415"/>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590</v>
      </c>
      <c r="AJ228" s="1415"/>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590</v>
      </c>
      <c r="AJ229" s="1415"/>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469</v>
      </c>
      <c r="E232" s="4"/>
      <c r="F232" s="4"/>
      <c r="G232" s="4"/>
      <c r="H232" s="4"/>
      <c r="I232" s="4"/>
      <c r="J232" s="4"/>
      <c r="K232" s="4"/>
      <c r="M232" s="1558" t="str">
        <f>H16</f>
        <v>Kingdom Development, Inc.</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537</v>
      </c>
      <c r="BG232" s="241">
        <f>IF(AND(AND($M$249="nonprofit",$M$257="nonprofit",$M$265="for profit")),2,0)</f>
        <v>0</v>
      </c>
    </row>
    <row r="233" spans="1:59" ht="12.9" customHeight="1">
      <c r="D233" s="4" t="s">
        <v>85</v>
      </c>
      <c r="E233" s="4"/>
      <c r="F233" s="4"/>
      <c r="G233" s="4"/>
      <c r="H233" s="4"/>
      <c r="I233" s="4"/>
      <c r="J233" s="4"/>
      <c r="K233" s="4"/>
      <c r="M233" s="1523" t="s">
        <v>2621</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537</v>
      </c>
      <c r="BG233" s="241">
        <f>IF(AND(AND($M$249="nonprofit",$M$257="for profit",$M$265="nonprofit")),2,0)</f>
        <v>0</v>
      </c>
    </row>
    <row r="234" spans="1:59" ht="12.9" customHeight="1">
      <c r="D234" s="4" t="s">
        <v>579</v>
      </c>
      <c r="E234" s="4"/>
      <c r="M234" s="1523" t="s">
        <v>67</v>
      </c>
      <c r="N234" s="1527"/>
      <c r="O234" s="1527"/>
      <c r="P234" s="1527"/>
      <c r="Q234" s="1527"/>
      <c r="R234" s="1527"/>
      <c r="S234" s="1527"/>
      <c r="T234" s="1527"/>
      <c r="V234" s="33" t="s">
        <v>86</v>
      </c>
      <c r="W234" s="1520" t="s">
        <v>2622</v>
      </c>
      <c r="X234" s="1471"/>
      <c r="Y234" s="4" t="s">
        <v>582</v>
      </c>
      <c r="AC234" s="1527">
        <v>92507</v>
      </c>
      <c r="AD234" s="1527"/>
      <c r="AE234" s="1527"/>
      <c r="AU234" s="4"/>
      <c r="AV234" s="4"/>
      <c r="AW234" s="4"/>
      <c r="AX234" s="4"/>
      <c r="AY234" s="4"/>
      <c r="AZ234" s="4"/>
      <c r="BB234" s="205" t="s">
        <v>537</v>
      </c>
      <c r="BG234" s="240">
        <f>IF(AND(AND($M$249="for profit",$M$257="nonprofit",$M$265="nonprofit")),2,0)</f>
        <v>0</v>
      </c>
    </row>
    <row r="235" spans="1:59" ht="12.9" customHeight="1">
      <c r="D235" s="4" t="s">
        <v>87</v>
      </c>
      <c r="E235" s="4"/>
      <c r="F235" s="4"/>
      <c r="G235" s="4"/>
      <c r="H235" s="4"/>
      <c r="I235" s="4"/>
      <c r="J235" s="4"/>
      <c r="K235" s="19"/>
      <c r="M235" s="1523" t="s">
        <v>2623</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 customHeight="1">
      <c r="D236" s="4" t="s">
        <v>88</v>
      </c>
      <c r="E236" s="4"/>
      <c r="F236" s="4"/>
      <c r="M236" s="1487">
        <v>9515386244</v>
      </c>
      <c r="N236" s="1487"/>
      <c r="O236" s="1487"/>
      <c r="P236" s="1487"/>
      <c r="Q236" s="1487"/>
      <c r="R236" s="1487"/>
      <c r="S236" s="4" t="s">
        <v>205</v>
      </c>
      <c r="T236" s="4"/>
      <c r="U236" s="1471"/>
      <c r="V236" s="1471"/>
      <c r="W236" s="1471"/>
      <c r="X236" s="4" t="s">
        <v>89</v>
      </c>
      <c r="Z236" s="1487"/>
      <c r="AA236" s="1487"/>
      <c r="AB236" s="1487"/>
      <c r="AC236" s="1487"/>
      <c r="AD236" s="1487"/>
      <c r="AE236" s="1487"/>
      <c r="AU236" s="4"/>
      <c r="AV236" s="4"/>
      <c r="AW236" s="4"/>
      <c r="AX236" s="4"/>
      <c r="AY236" s="4"/>
      <c r="AZ236" s="4"/>
      <c r="BB236" s="204" t="s">
        <v>536</v>
      </c>
      <c r="BG236" s="241">
        <f>IF(AND(AND($M$249="nonprofit",$M$257="nonprofit",$M$265="(select one)")),1,0)</f>
        <v>0</v>
      </c>
    </row>
    <row r="237" spans="1:59" ht="12.9" customHeight="1">
      <c r="D237" s="4" t="s">
        <v>90</v>
      </c>
      <c r="E237" s="4"/>
      <c r="F237" s="4"/>
      <c r="M237" s="1542" t="s">
        <v>2624</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 customHeight="1">
      <c r="A238" s="2" t="s">
        <v>585</v>
      </c>
      <c r="C238" s="2" t="s">
        <v>524</v>
      </c>
      <c r="M238" s="1371" t="s">
        <v>376</v>
      </c>
      <c r="N238" s="1371"/>
      <c r="O238" s="1371"/>
      <c r="P238" s="1371"/>
      <c r="Q238" s="1371"/>
      <c r="R238" s="1371"/>
      <c r="S238" s="1371"/>
      <c r="T238" s="1371"/>
      <c r="U238" s="204" t="s">
        <v>905</v>
      </c>
      <c r="V238" s="204"/>
      <c r="W238" s="204"/>
      <c r="X238" s="204"/>
      <c r="Y238" s="204"/>
      <c r="Z238" s="204"/>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 customHeight="1">
      <c r="D239" t="s">
        <v>530</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 customHeight="1">
      <c r="D240" s="4"/>
      <c r="BB240" s="204" t="s">
        <v>876</v>
      </c>
      <c r="BG240" s="241">
        <f>IF(AND(AND($M$249="for profit",$M$257="for profit",$M$265="for profit")),3,0)</f>
        <v>0</v>
      </c>
    </row>
    <row r="241" spans="1:67" ht="12.9"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472</v>
      </c>
      <c r="D243" s="4" t="s">
        <v>531</v>
      </c>
      <c r="E243" s="4"/>
      <c r="F243" s="4"/>
      <c r="G243" s="4"/>
      <c r="H243" s="4"/>
      <c r="I243" s="4"/>
      <c r="J243" s="4"/>
      <c r="K243" s="4"/>
      <c r="L243" s="4"/>
      <c r="M243" s="1568" t="s">
        <v>2625</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2626</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3" t="s">
        <v>2627</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1178</v>
      </c>
      <c r="AL244" s="4"/>
      <c r="AM244" s="4"/>
      <c r="AN244" s="4"/>
      <c r="AO244" s="4"/>
      <c r="AP244" s="4"/>
      <c r="AQ244" s="4"/>
      <c r="AR244" s="4"/>
      <c r="AS244" s="4"/>
      <c r="AT244" s="4"/>
      <c r="BB244" t="s">
        <v>306</v>
      </c>
      <c r="BG244">
        <v>1</v>
      </c>
      <c r="BH244" t="s">
        <v>533</v>
      </c>
    </row>
    <row r="245" spans="1:67" ht="12.9" customHeight="1">
      <c r="A245" s="19"/>
      <c r="B245" s="4"/>
      <c r="C245" s="4"/>
      <c r="D245" s="4" t="s">
        <v>579</v>
      </c>
      <c r="E245" s="4"/>
      <c r="M245" s="1523" t="s">
        <v>2628</v>
      </c>
      <c r="N245" s="1527"/>
      <c r="O245" s="1527"/>
      <c r="P245" s="1527"/>
      <c r="Q245" s="1527"/>
      <c r="R245" s="1527"/>
      <c r="S245" s="1527"/>
      <c r="T245" s="1527"/>
      <c r="V245" s="33" t="s">
        <v>86</v>
      </c>
      <c r="W245" s="1520" t="s">
        <v>2622</v>
      </c>
      <c r="X245" s="1471"/>
      <c r="Y245" s="4" t="s">
        <v>582</v>
      </c>
      <c r="AC245" s="1527">
        <v>94973</v>
      </c>
      <c r="AD245" s="1527"/>
      <c r="AE245" s="1527"/>
      <c r="AF245" s="3" t="s">
        <v>1179</v>
      </c>
      <c r="AU245" s="4"/>
      <c r="AV245" s="4"/>
      <c r="AW245" s="4"/>
      <c r="AX245" s="4"/>
      <c r="AY245" s="4"/>
      <c r="BB245" s="4" t="s">
        <v>279</v>
      </c>
      <c r="BG245">
        <v>2</v>
      </c>
      <c r="BH245" t="s">
        <v>565</v>
      </c>
      <c r="BO245" s="239" t="str">
        <f>VLOOKUP(BG243,BG244:BH247,2,FALSE)</f>
        <v>Joint Venture</v>
      </c>
    </row>
    <row r="246" spans="1:67" ht="12.9" customHeight="1">
      <c r="A246" s="19"/>
      <c r="B246" s="4"/>
      <c r="C246" s="4"/>
      <c r="D246" s="4" t="s">
        <v>87</v>
      </c>
      <c r="E246" s="4"/>
      <c r="F246" s="4"/>
      <c r="G246" s="4"/>
      <c r="H246" s="4"/>
      <c r="I246" s="4"/>
      <c r="J246" s="4"/>
      <c r="K246" s="4"/>
      <c r="L246" s="19"/>
      <c r="M246" s="1523" t="s">
        <v>2629</v>
      </c>
      <c r="N246" s="1527"/>
      <c r="O246" s="1527"/>
      <c r="P246" s="1527"/>
      <c r="Q246" s="1527"/>
      <c r="R246" s="1527"/>
      <c r="S246" s="1527"/>
      <c r="T246" s="1527"/>
      <c r="U246" s="1527"/>
      <c r="V246" s="1527"/>
      <c r="W246" s="1527"/>
      <c r="X246" s="1527"/>
      <c r="Y246" s="1527"/>
      <c r="Z246" s="1527"/>
      <c r="AA246" s="1527"/>
      <c r="AB246" s="1527"/>
      <c r="AC246" s="1527"/>
      <c r="AD246" s="1527"/>
      <c r="AE246" s="1527"/>
      <c r="AH246" s="1541">
        <v>5.0000000000000001E-3</v>
      </c>
      <c r="AI246" s="1541"/>
      <c r="AJ246" s="1541"/>
      <c r="AK246" s="1541"/>
      <c r="AL246" s="4"/>
      <c r="AM246" s="4"/>
      <c r="AN246" s="4"/>
      <c r="AO246" s="4"/>
      <c r="AP246" s="4"/>
      <c r="AQ246" s="4"/>
      <c r="AR246" s="4"/>
      <c r="AS246" s="4"/>
      <c r="AT246" s="4"/>
      <c r="BB246" s="4" t="s">
        <v>172</v>
      </c>
      <c r="BG246">
        <v>3</v>
      </c>
      <c r="BH246" t="s">
        <v>535</v>
      </c>
      <c r="BN246" s="34"/>
    </row>
    <row r="247" spans="1:67" ht="12.9" customHeight="1">
      <c r="A247" s="19"/>
      <c r="B247" s="4"/>
      <c r="C247" s="4"/>
      <c r="D247" s="4" t="s">
        <v>88</v>
      </c>
      <c r="E247" s="4"/>
      <c r="F247" s="4"/>
      <c r="M247" s="1487">
        <v>8186533899</v>
      </c>
      <c r="N247" s="1487"/>
      <c r="O247" s="1487"/>
      <c r="P247" s="1487"/>
      <c r="Q247" s="1487"/>
      <c r="R247" s="1487"/>
      <c r="S247" s="4" t="s">
        <v>205</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 customHeight="1">
      <c r="A248" s="19"/>
      <c r="B248" s="4"/>
      <c r="C248" s="4"/>
      <c r="D248" s="4" t="s">
        <v>90</v>
      </c>
      <c r="E248" s="4"/>
      <c r="F248" s="4"/>
      <c r="M248" s="1542" t="s">
        <v>2630</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534</v>
      </c>
      <c r="E249" s="4"/>
      <c r="F249" s="4"/>
      <c r="G249" s="4"/>
      <c r="H249" s="4"/>
      <c r="I249" s="4"/>
      <c r="J249" s="4"/>
      <c r="K249" s="4"/>
      <c r="L249" s="4"/>
      <c r="M249" s="1371" t="s">
        <v>535</v>
      </c>
      <c r="N249" s="1371"/>
      <c r="O249" s="1371"/>
      <c r="P249" s="1371"/>
      <c r="Q249" s="1371"/>
      <c r="R249" s="1371"/>
      <c r="S249" s="1371"/>
      <c r="T249" s="1371"/>
      <c r="U249" s="204" t="s">
        <v>905</v>
      </c>
      <c r="V249" s="204"/>
      <c r="W249" s="204"/>
      <c r="X249" s="204"/>
      <c r="Y249" s="204"/>
      <c r="Z249" s="204"/>
      <c r="AA249" s="1562"/>
      <c r="AB249" s="1562"/>
      <c r="AC249" s="1562"/>
      <c r="AD249" s="1562"/>
      <c r="AE249" s="1562"/>
      <c r="AF249" s="1562"/>
      <c r="AG249" s="1562"/>
      <c r="AH249" s="1562"/>
      <c r="AI249" s="1562"/>
      <c r="AJ249" s="1562"/>
      <c r="AK249" s="1562"/>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954</v>
      </c>
      <c r="E251" s="4"/>
      <c r="F251" s="4"/>
      <c r="G251" s="4"/>
      <c r="H251" s="4"/>
      <c r="I251" s="4"/>
      <c r="J251" s="4"/>
      <c r="K251" s="4"/>
      <c r="L251" s="4"/>
      <c r="M251" s="1568" t="s">
        <v>2631</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2632</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523" t="s">
        <v>2621</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1178</v>
      </c>
      <c r="AL252" s="4"/>
      <c r="AM252" s="4"/>
      <c r="AN252" s="4"/>
      <c r="AO252" s="4"/>
      <c r="AP252" s="4"/>
      <c r="AQ252" s="4"/>
      <c r="AR252" s="4"/>
      <c r="AS252" s="4"/>
      <c r="AT252" s="4"/>
      <c r="BN252" s="34"/>
    </row>
    <row r="253" spans="1:67" ht="12.9" customHeight="1">
      <c r="A253" s="19"/>
      <c r="B253" s="4"/>
      <c r="C253" s="4"/>
      <c r="D253" s="4" t="s">
        <v>579</v>
      </c>
      <c r="E253" s="4"/>
      <c r="M253" s="1523" t="s">
        <v>67</v>
      </c>
      <c r="N253" s="1527"/>
      <c r="O253" s="1527"/>
      <c r="P253" s="1527"/>
      <c r="Q253" s="1527"/>
      <c r="R253" s="1527"/>
      <c r="S253" s="1527"/>
      <c r="T253" s="1527"/>
      <c r="V253" s="33" t="s">
        <v>86</v>
      </c>
      <c r="W253" s="1520" t="s">
        <v>2622</v>
      </c>
      <c r="X253" s="1471"/>
      <c r="Y253" s="4" t="s">
        <v>582</v>
      </c>
      <c r="AC253" s="1527">
        <v>92507</v>
      </c>
      <c r="AD253" s="1527"/>
      <c r="AE253" s="1527"/>
      <c r="AF253" s="3" t="s">
        <v>1179</v>
      </c>
      <c r="AU253" s="4"/>
      <c r="AV253" s="4"/>
      <c r="AW253" s="4"/>
      <c r="AX253" s="4"/>
      <c r="AY253" s="4"/>
      <c r="BN253" s="34"/>
    </row>
    <row r="254" spans="1:67" ht="12.9" customHeight="1">
      <c r="A254" s="19"/>
      <c r="B254" s="4"/>
      <c r="C254" s="4"/>
      <c r="D254" s="4" t="s">
        <v>87</v>
      </c>
      <c r="E254" s="4"/>
      <c r="F254" s="4"/>
      <c r="G254" s="4"/>
      <c r="H254" s="4"/>
      <c r="I254" s="4"/>
      <c r="J254" s="4"/>
      <c r="K254" s="4"/>
      <c r="L254" s="19"/>
      <c r="M254" s="1523" t="s">
        <v>2623</v>
      </c>
      <c r="N254" s="1527"/>
      <c r="O254" s="1527"/>
      <c r="P254" s="1527"/>
      <c r="Q254" s="1527"/>
      <c r="R254" s="1527"/>
      <c r="S254" s="1527"/>
      <c r="T254" s="1527"/>
      <c r="U254" s="1527"/>
      <c r="V254" s="1527"/>
      <c r="W254" s="1527"/>
      <c r="X254" s="1527"/>
      <c r="Y254" s="1527"/>
      <c r="Z254" s="1527"/>
      <c r="AA254" s="1527"/>
      <c r="AB254" s="1527"/>
      <c r="AC254" s="1527"/>
      <c r="AD254" s="1527"/>
      <c r="AE254" s="1527"/>
      <c r="AH254" s="1541">
        <v>5.0000000000000001E-3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487">
        <v>9515386244</v>
      </c>
      <c r="N255" s="1487"/>
      <c r="O255" s="1487"/>
      <c r="P255" s="1487"/>
      <c r="Q255" s="1487"/>
      <c r="R255" s="1487"/>
      <c r="S255" s="4" t="s">
        <v>205</v>
      </c>
      <c r="T255" s="4"/>
      <c r="U255" s="1471"/>
      <c r="V255" s="1471"/>
      <c r="W255" s="1471"/>
      <c r="X255" s="4" t="s">
        <v>89</v>
      </c>
      <c r="Z255" s="1487"/>
      <c r="AA255" s="1487"/>
      <c r="AB255" s="1487"/>
      <c r="AC255" s="1487"/>
      <c r="AD255" s="1487"/>
      <c r="AE255" s="1487"/>
      <c r="AU255" s="4"/>
      <c r="AV255" s="4"/>
      <c r="AW255" s="4"/>
      <c r="AX255" s="4"/>
      <c r="AY255" s="4"/>
      <c r="BN255" s="34"/>
    </row>
    <row r="256" spans="1:67" ht="12.9" customHeight="1">
      <c r="A256" s="19"/>
      <c r="B256" s="4"/>
      <c r="C256" s="4"/>
      <c r="D256" s="4" t="s">
        <v>90</v>
      </c>
      <c r="E256" s="4"/>
      <c r="F256" s="4"/>
      <c r="M256" s="1542" t="s">
        <v>2624</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534</v>
      </c>
      <c r="E257" s="4"/>
      <c r="F257" s="4"/>
      <c r="G257" s="4"/>
      <c r="H257" s="4"/>
      <c r="I257" s="4"/>
      <c r="J257" s="4"/>
      <c r="K257" s="4"/>
      <c r="L257" s="4"/>
      <c r="M257" s="1371" t="s">
        <v>533</v>
      </c>
      <c r="N257" s="1371"/>
      <c r="O257" s="1371"/>
      <c r="P257" s="1371"/>
      <c r="Q257" s="1371"/>
      <c r="R257" s="1371"/>
      <c r="S257" s="1371"/>
      <c r="T257" s="1371"/>
      <c r="U257" s="204" t="s">
        <v>905</v>
      </c>
      <c r="V257" s="204"/>
      <c r="W257" s="204"/>
      <c r="X257" s="204"/>
      <c r="Y257" s="204"/>
      <c r="Z257" s="204"/>
      <c r="AA257" s="1576" t="s">
        <v>2633</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875</v>
      </c>
      <c r="D259" s="4" t="s">
        <v>531</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1178</v>
      </c>
      <c r="AL260" s="3"/>
      <c r="AM260" s="3"/>
      <c r="AN260" s="3"/>
      <c r="AO260" s="3"/>
      <c r="AP260" s="3"/>
      <c r="AQ260" s="3"/>
      <c r="AR260" s="3"/>
      <c r="AS260" s="3"/>
      <c r="AT260" s="3"/>
      <c r="AU260" s="3"/>
      <c r="AV260" s="3"/>
      <c r="AW260" s="3"/>
      <c r="AX260" s="3"/>
      <c r="AY260" s="3"/>
    </row>
    <row r="261" spans="1:51" ht="12.9" customHeight="1">
      <c r="A261" s="13"/>
      <c r="B261" s="4"/>
      <c r="C261" s="4"/>
      <c r="D261" s="4" t="s">
        <v>579</v>
      </c>
      <c r="E261" s="4"/>
      <c r="M261" s="1527"/>
      <c r="N261" s="1527"/>
      <c r="O261" s="1527"/>
      <c r="P261" s="1527"/>
      <c r="Q261" s="1527"/>
      <c r="R261" s="1527"/>
      <c r="S261" s="1527"/>
      <c r="T261" s="1527"/>
      <c r="V261" s="33" t="s">
        <v>86</v>
      </c>
      <c r="W261" s="1471"/>
      <c r="X261" s="1471"/>
      <c r="Y261" s="4" t="s">
        <v>582</v>
      </c>
      <c r="AC261" s="1527"/>
      <c r="AD261" s="1527"/>
      <c r="AE261" s="1527"/>
      <c r="AF261" s="3" t="s">
        <v>1179</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7"/>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534</v>
      </c>
      <c r="E265" s="4"/>
      <c r="F265" s="4"/>
      <c r="G265" s="4"/>
      <c r="H265" s="4"/>
      <c r="I265" s="4"/>
      <c r="J265" s="4"/>
      <c r="K265" s="4"/>
      <c r="L265" s="4"/>
      <c r="M265" s="1371" t="s">
        <v>306</v>
      </c>
      <c r="N265" s="1371"/>
      <c r="O265" s="1371"/>
      <c r="P265" s="1371"/>
      <c r="Q265" s="1371"/>
      <c r="R265" s="1371"/>
      <c r="S265" s="1371"/>
      <c r="T265" s="1371"/>
      <c r="U265" s="204" t="s">
        <v>905</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589</v>
      </c>
      <c r="B267" s="4"/>
      <c r="C267" s="2" t="s">
        <v>294</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953</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6"/>
      <c r="Y270" s="1506"/>
      <c r="Z270" s="1506"/>
      <c r="AA270" s="1506"/>
      <c r="AB270" s="1506"/>
      <c r="AC270" s="1506"/>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68" t="s">
        <v>2633</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3" t="s">
        <v>2621</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579</v>
      </c>
      <c r="E276" s="4"/>
      <c r="L276" s="1523" t="s">
        <v>67</v>
      </c>
      <c r="M276" s="1527"/>
      <c r="N276" s="1527"/>
      <c r="O276" s="1527"/>
      <c r="P276" s="1527"/>
      <c r="Q276" s="1527"/>
      <c r="R276" s="1527"/>
      <c r="S276" s="1527"/>
      <c r="U276" s="33" t="s">
        <v>86</v>
      </c>
      <c r="V276" s="1520" t="s">
        <v>2622</v>
      </c>
      <c r="W276" s="1471"/>
      <c r="X276" s="4" t="s">
        <v>582</v>
      </c>
      <c r="AB276" s="1527">
        <v>92507</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3" t="s">
        <v>2623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487">
        <v>9515386244</v>
      </c>
      <c r="M278" s="1487"/>
      <c r="N278" s="1487"/>
      <c r="O278" s="1487"/>
      <c r="P278" s="1487"/>
      <c r="Q278" s="1487"/>
      <c r="R278" s="4" t="s">
        <v>205</v>
      </c>
      <c r="S278" s="4"/>
      <c r="T278" s="1471"/>
      <c r="U278" s="1471"/>
      <c r="V278" s="1471"/>
      <c r="W278" s="4" t="s">
        <v>89</v>
      </c>
      <c r="Y278" s="1487"/>
      <c r="Z278" s="1487"/>
      <c r="AA278" s="1487"/>
      <c r="AB278" s="1487"/>
      <c r="AC278" s="1487"/>
      <c r="AD278" s="1487"/>
    </row>
    <row r="279" spans="1:51" ht="12.9" customHeight="1">
      <c r="D279" s="4" t="s">
        <v>90</v>
      </c>
      <c r="E279" s="4"/>
      <c r="F279" s="4"/>
      <c r="L279" s="1542" t="s">
        <v>2634</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622</v>
      </c>
      <c r="E280" s="3"/>
      <c r="F280" s="3"/>
      <c r="G280" s="3"/>
      <c r="H280" s="3"/>
      <c r="I280" s="3"/>
      <c r="L280" s="1520" t="s">
        <v>2635</v>
      </c>
      <c r="M280" s="1520"/>
      <c r="N280" s="1520"/>
      <c r="O280" s="1520"/>
      <c r="P280" s="1520"/>
      <c r="Q280" s="1520"/>
      <c r="R280" s="1520"/>
      <c r="S280" s="1520"/>
      <c r="T280" s="1520"/>
      <c r="U280" s="1520"/>
      <c r="V280" s="1520"/>
      <c r="W280" s="1520"/>
      <c r="X280" s="1520"/>
      <c r="Y280" s="1520"/>
      <c r="Z280" s="1520"/>
      <c r="AA280" s="1520"/>
      <c r="AB280" s="1520"/>
      <c r="AC280" s="1520"/>
      <c r="AD280" s="1520"/>
      <c r="AK280" s="3"/>
      <c r="AL280" s="3"/>
      <c r="AM280" s="3"/>
      <c r="AN280" s="3"/>
      <c r="AO280" s="3"/>
      <c r="AP280" s="3"/>
      <c r="AQ280" s="3"/>
      <c r="AR280" s="3"/>
      <c r="AS280" s="3"/>
      <c r="AT280" s="3"/>
    </row>
    <row r="281" spans="1:51" ht="12.9" customHeight="1">
      <c r="L281" s="22" t="s">
        <v>623</v>
      </c>
      <c r="AU281" s="95"/>
      <c r="AV281" s="95"/>
      <c r="AW281" s="95"/>
      <c r="AX281" s="95"/>
      <c r="AY281" s="95"/>
    </row>
    <row r="282" spans="1:51" ht="12.9" customHeight="1">
      <c r="A282" s="1537" t="s">
        <v>540</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625</v>
      </c>
      <c r="C287" s="3"/>
      <c r="D287" s="3"/>
      <c r="E287" s="3"/>
      <c r="F287" s="3"/>
      <c r="H287" s="1407" t="s">
        <v>2625</v>
      </c>
      <c r="I287" s="1407"/>
      <c r="J287" s="1407"/>
      <c r="K287" s="1407"/>
      <c r="L287" s="1407"/>
      <c r="M287" s="1407"/>
      <c r="N287" s="1407"/>
      <c r="O287" s="1407"/>
      <c r="P287" s="1407"/>
      <c r="Q287" s="1407"/>
      <c r="R287" s="1407"/>
      <c r="T287" s="3" t="s">
        <v>566</v>
      </c>
      <c r="V287" s="3"/>
      <c r="W287" s="3"/>
      <c r="X287" s="3"/>
      <c r="Y287" s="3"/>
      <c r="AA287" s="1407" t="s">
        <v>2639</v>
      </c>
      <c r="AB287" s="1407"/>
      <c r="AC287" s="1407"/>
      <c r="AD287" s="1407"/>
      <c r="AE287" s="1407"/>
      <c r="AF287" s="1407"/>
      <c r="AG287" s="1407"/>
      <c r="AH287" s="1407"/>
      <c r="AI287" s="1407"/>
      <c r="AJ287" s="1407"/>
      <c r="AK287" s="1407"/>
    </row>
    <row r="288" spans="1:51" ht="12.9" customHeight="1">
      <c r="B288" s="3" t="s">
        <v>470</v>
      </c>
      <c r="C288" s="3"/>
      <c r="D288" s="3"/>
      <c r="E288" s="3"/>
      <c r="F288" s="3"/>
      <c r="H288" s="1371" t="s">
        <v>2636</v>
      </c>
      <c r="I288" s="1371"/>
      <c r="J288" s="1371"/>
      <c r="K288" s="1371"/>
      <c r="L288" s="1371"/>
      <c r="M288" s="1371"/>
      <c r="N288" s="1371"/>
      <c r="O288" s="1371"/>
      <c r="P288" s="1371"/>
      <c r="Q288" s="1371"/>
      <c r="R288" s="1371"/>
      <c r="T288" s="3" t="s">
        <v>470</v>
      </c>
      <c r="V288" s="3"/>
      <c r="W288" s="3"/>
      <c r="X288" s="3"/>
      <c r="Y288" s="3"/>
      <c r="AA288" s="1371" t="s">
        <v>2640</v>
      </c>
      <c r="AB288" s="1371"/>
      <c r="AC288" s="1371"/>
      <c r="AD288" s="1371"/>
      <c r="AE288" s="1371"/>
      <c r="AF288" s="1371"/>
      <c r="AG288" s="1371"/>
      <c r="AH288" s="1371"/>
      <c r="AI288" s="1371"/>
      <c r="AJ288" s="1371"/>
      <c r="AK288" s="1371"/>
    </row>
    <row r="289" spans="2:37" ht="12.9" customHeight="1">
      <c r="B289" s="3" t="s">
        <v>471</v>
      </c>
      <c r="C289" s="3"/>
      <c r="D289" s="3"/>
      <c r="E289" s="3"/>
      <c r="F289" s="3"/>
      <c r="H289" s="1371" t="s">
        <v>2637</v>
      </c>
      <c r="I289" s="1371"/>
      <c r="J289" s="1371"/>
      <c r="K289" s="1371"/>
      <c r="L289" s="1371"/>
      <c r="M289" s="1371"/>
      <c r="N289" s="1371"/>
      <c r="O289" s="1371"/>
      <c r="P289" s="1371"/>
      <c r="Q289" s="1371"/>
      <c r="R289" s="1371"/>
      <c r="T289" s="3" t="s">
        <v>75</v>
      </c>
      <c r="V289" s="3"/>
      <c r="W289" s="3"/>
      <c r="X289" s="3"/>
      <c r="Y289" s="3"/>
      <c r="AA289" s="1371" t="s">
        <v>2641</v>
      </c>
      <c r="AB289" s="1371"/>
      <c r="AC289" s="1371"/>
      <c r="AD289" s="1371"/>
      <c r="AE289" s="1371"/>
      <c r="AF289" s="1371"/>
      <c r="AG289" s="1371"/>
      <c r="AH289" s="1371"/>
      <c r="AI289" s="1371"/>
      <c r="AJ289" s="1371"/>
      <c r="AK289" s="1371"/>
    </row>
    <row r="290" spans="2:37" ht="12.9" customHeight="1">
      <c r="B290" s="3" t="s">
        <v>87</v>
      </c>
      <c r="C290" s="3"/>
      <c r="D290" s="3"/>
      <c r="E290" s="3"/>
      <c r="F290" s="3"/>
      <c r="H290" s="1371" t="s">
        <v>2629</v>
      </c>
      <c r="I290" s="1371"/>
      <c r="J290" s="1371"/>
      <c r="K290" s="1371"/>
      <c r="L290" s="1371"/>
      <c r="M290" s="1371"/>
      <c r="N290" s="1371"/>
      <c r="O290" s="1371"/>
      <c r="P290" s="1371"/>
      <c r="Q290" s="1371"/>
      <c r="R290" s="1371"/>
      <c r="T290" s="3" t="s">
        <v>87</v>
      </c>
      <c r="V290" s="3"/>
      <c r="W290" s="3"/>
      <c r="X290" s="3"/>
      <c r="Y290" s="3"/>
      <c r="AA290" s="1371" t="s">
        <v>2642</v>
      </c>
      <c r="AB290" s="1371"/>
      <c r="AC290" s="1371"/>
      <c r="AD290" s="1371"/>
      <c r="AE290" s="1371"/>
      <c r="AF290" s="1371"/>
      <c r="AG290" s="1371"/>
      <c r="AH290" s="1371"/>
      <c r="AI290" s="1371"/>
      <c r="AJ290" s="1371"/>
      <c r="AK290" s="1371"/>
    </row>
    <row r="291" spans="2:37" ht="12.9" customHeight="1">
      <c r="B291" s="3" t="s">
        <v>88</v>
      </c>
      <c r="C291" s="3"/>
      <c r="D291" s="3"/>
      <c r="E291" s="3"/>
      <c r="F291" s="3"/>
      <c r="G291" s="3"/>
      <c r="H291" s="1545">
        <v>8186533899</v>
      </c>
      <c r="I291" s="1545"/>
      <c r="J291" s="1545"/>
      <c r="K291" s="1545"/>
      <c r="L291" s="1545"/>
      <c r="M291" s="1545"/>
      <c r="N291" s="4" t="s">
        <v>205</v>
      </c>
      <c r="O291" s="4"/>
      <c r="P291" s="1527"/>
      <c r="Q291" s="1527"/>
      <c r="R291" s="1527"/>
      <c r="S291" s="3"/>
      <c r="T291" s="3" t="s">
        <v>88</v>
      </c>
      <c r="V291" s="3"/>
      <c r="W291" s="3"/>
      <c r="X291" s="3"/>
      <c r="Y291" s="3"/>
      <c r="AA291" s="1545">
        <v>8059622746</v>
      </c>
      <c r="AB291" s="1545"/>
      <c r="AC291" s="1545"/>
      <c r="AD291" s="1545"/>
      <c r="AE291" s="1545"/>
      <c r="AF291" s="1545"/>
      <c r="AG291" s="4" t="s">
        <v>205</v>
      </c>
      <c r="AH291" s="4"/>
      <c r="AI291" s="1527"/>
      <c r="AJ291" s="1527"/>
      <c r="AK291" s="1527"/>
    </row>
    <row r="292" spans="2:37" ht="12.9" customHeight="1">
      <c r="B292" s="3" t="s">
        <v>89</v>
      </c>
      <c r="C292" s="3"/>
      <c r="D292" s="3"/>
      <c r="E292" s="3"/>
      <c r="F292" s="3"/>
      <c r="G292" s="3"/>
      <c r="H292" s="1524" t="s">
        <v>2719</v>
      </c>
      <c r="I292" s="1487"/>
      <c r="J292" s="1487"/>
      <c r="K292" s="1487"/>
      <c r="L292" s="1487"/>
      <c r="M292" s="1487"/>
      <c r="N292" s="4"/>
      <c r="O292" s="4"/>
      <c r="P292" s="35"/>
      <c r="Q292" s="35"/>
      <c r="R292" s="35"/>
      <c r="S292" s="3"/>
      <c r="T292" s="3" t="s">
        <v>89</v>
      </c>
      <c r="V292" s="3"/>
      <c r="W292" s="3"/>
      <c r="X292" s="3"/>
      <c r="Y292" s="3"/>
      <c r="AA292" s="1524" t="s">
        <v>2719</v>
      </c>
      <c r="AB292" s="1487"/>
      <c r="AC292" s="1487"/>
      <c r="AD292" s="1487"/>
      <c r="AE292" s="1487"/>
      <c r="AF292" s="1487"/>
      <c r="AG292" s="4"/>
      <c r="AH292" s="4"/>
      <c r="AI292" s="35"/>
      <c r="AJ292" s="35"/>
      <c r="AK292" s="35"/>
    </row>
    <row r="293" spans="2:37" ht="12.9" customHeight="1">
      <c r="B293" s="3" t="s">
        <v>76</v>
      </c>
      <c r="C293" s="3"/>
      <c r="D293" s="3"/>
      <c r="E293" s="3"/>
      <c r="F293" s="3"/>
      <c r="G293" s="3"/>
      <c r="H293" s="1371" t="s">
        <v>2638</v>
      </c>
      <c r="I293" s="1371"/>
      <c r="J293" s="1371"/>
      <c r="K293" s="1371"/>
      <c r="L293" s="1371"/>
      <c r="M293" s="1371"/>
      <c r="N293" s="1407"/>
      <c r="O293" s="1407"/>
      <c r="P293" s="1407"/>
      <c r="Q293" s="1407"/>
      <c r="R293" s="1407"/>
      <c r="S293" s="3"/>
      <c r="T293" s="3" t="s">
        <v>76</v>
      </c>
      <c r="V293" s="3"/>
      <c r="W293" s="3"/>
      <c r="X293" s="3"/>
      <c r="Y293" s="3"/>
      <c r="AA293" s="1371" t="s">
        <v>2643</v>
      </c>
      <c r="AB293" s="1371"/>
      <c r="AC293" s="1371"/>
      <c r="AD293" s="1371"/>
      <c r="AE293" s="1371"/>
      <c r="AF293" s="1371"/>
      <c r="AG293" s="1407"/>
      <c r="AH293" s="1407"/>
      <c r="AI293" s="1407"/>
      <c r="AJ293" s="1407"/>
      <c r="AK293" s="1407"/>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7" t="s">
        <v>2644</v>
      </c>
      <c r="I295" s="1407"/>
      <c r="J295" s="1407"/>
      <c r="K295" s="1407"/>
      <c r="L295" s="1407"/>
      <c r="M295" s="1407"/>
      <c r="N295" s="1407"/>
      <c r="O295" s="1407"/>
      <c r="P295" s="1407"/>
      <c r="Q295" s="1407"/>
      <c r="R295" s="1407"/>
      <c r="T295" s="3" t="s">
        <v>363</v>
      </c>
      <c r="V295" s="3"/>
      <c r="W295" s="3"/>
      <c r="X295" s="3"/>
      <c r="Y295" s="3"/>
      <c r="AA295" s="1407" t="s">
        <v>2731</v>
      </c>
      <c r="AB295" s="1407"/>
      <c r="AC295" s="1407"/>
      <c r="AD295" s="1407"/>
      <c r="AE295" s="1407"/>
      <c r="AF295" s="1407"/>
      <c r="AG295" s="1407"/>
      <c r="AH295" s="1407"/>
      <c r="AI295" s="1407"/>
      <c r="AJ295" s="1407"/>
      <c r="AK295" s="1407"/>
    </row>
    <row r="296" spans="2:37" ht="12.9" customHeight="1">
      <c r="B296" s="3" t="s">
        <v>470</v>
      </c>
      <c r="C296" s="3"/>
      <c r="D296" s="3"/>
      <c r="E296" s="3"/>
      <c r="F296" s="3"/>
      <c r="H296" s="1371" t="s">
        <v>2645</v>
      </c>
      <c r="I296" s="1371"/>
      <c r="J296" s="1371"/>
      <c r="K296" s="1371"/>
      <c r="L296" s="1371"/>
      <c r="M296" s="1371"/>
      <c r="N296" s="1371"/>
      <c r="O296" s="1371"/>
      <c r="P296" s="1371"/>
      <c r="Q296" s="1371"/>
      <c r="R296" s="1371"/>
      <c r="T296" s="3" t="s">
        <v>470</v>
      </c>
      <c r="V296" s="3"/>
      <c r="W296" s="3"/>
      <c r="X296" s="3"/>
      <c r="Y296" s="3"/>
      <c r="AA296" s="1371" t="s">
        <v>2732</v>
      </c>
      <c r="AB296" s="1371"/>
      <c r="AC296" s="1371"/>
      <c r="AD296" s="1371"/>
      <c r="AE296" s="1371"/>
      <c r="AF296" s="1371"/>
      <c r="AG296" s="1371"/>
      <c r="AH296" s="1371"/>
      <c r="AI296" s="1371"/>
      <c r="AJ296" s="1371"/>
      <c r="AK296" s="1371"/>
    </row>
    <row r="297" spans="2:37" ht="12.9" customHeight="1">
      <c r="B297" s="3" t="s">
        <v>471</v>
      </c>
      <c r="C297" s="3"/>
      <c r="D297" s="3"/>
      <c r="E297" s="3"/>
      <c r="F297" s="3"/>
      <c r="H297" s="1371" t="s">
        <v>2646</v>
      </c>
      <c r="I297" s="1371"/>
      <c r="J297" s="1371"/>
      <c r="K297" s="1371"/>
      <c r="L297" s="1371"/>
      <c r="M297" s="1371"/>
      <c r="N297" s="1371"/>
      <c r="O297" s="1371"/>
      <c r="P297" s="1371"/>
      <c r="Q297" s="1371"/>
      <c r="R297" s="1371"/>
      <c r="T297" s="3" t="s">
        <v>75</v>
      </c>
      <c r="V297" s="3"/>
      <c r="W297" s="3"/>
      <c r="X297" s="3"/>
      <c r="Y297" s="3"/>
      <c r="AA297" s="1371" t="s">
        <v>2733</v>
      </c>
      <c r="AB297" s="1371"/>
      <c r="AC297" s="1371"/>
      <c r="AD297" s="1371"/>
      <c r="AE297" s="1371"/>
      <c r="AF297" s="1371"/>
      <c r="AG297" s="1371"/>
      <c r="AH297" s="1371"/>
      <c r="AI297" s="1371"/>
      <c r="AJ297" s="1371"/>
      <c r="AK297" s="1371"/>
    </row>
    <row r="298" spans="2:37" ht="12.9" customHeight="1">
      <c r="B298" s="3" t="s">
        <v>87</v>
      </c>
      <c r="C298" s="3"/>
      <c r="D298" s="3"/>
      <c r="E298" s="3"/>
      <c r="F298" s="3"/>
      <c r="H298" s="1371" t="s">
        <v>2647</v>
      </c>
      <c r="I298" s="1371"/>
      <c r="J298" s="1371"/>
      <c r="K298" s="1371"/>
      <c r="L298" s="1371"/>
      <c r="M298" s="1371"/>
      <c r="N298" s="1371"/>
      <c r="O298" s="1371"/>
      <c r="P298" s="1371"/>
      <c r="Q298" s="1371"/>
      <c r="R298" s="1371"/>
      <c r="T298" s="3" t="s">
        <v>87</v>
      </c>
      <c r="V298" s="3"/>
      <c r="W298" s="3"/>
      <c r="X298" s="3"/>
      <c r="Y298" s="3"/>
      <c r="AA298" s="1371" t="s">
        <v>2734</v>
      </c>
      <c r="AB298" s="1371"/>
      <c r="AC298" s="1371"/>
      <c r="AD298" s="1371"/>
      <c r="AE298" s="1371"/>
      <c r="AF298" s="1371"/>
      <c r="AG298" s="1371"/>
      <c r="AH298" s="1371"/>
      <c r="AI298" s="1371"/>
      <c r="AJ298" s="1371"/>
      <c r="AK298" s="1371"/>
    </row>
    <row r="299" spans="2:37" ht="12.9" customHeight="1">
      <c r="B299" s="3" t="s">
        <v>88</v>
      </c>
      <c r="C299" s="3"/>
      <c r="D299" s="3"/>
      <c r="E299" s="3"/>
      <c r="F299" s="3"/>
      <c r="G299" s="3"/>
      <c r="H299" s="1545">
        <v>5108366336</v>
      </c>
      <c r="I299" s="1545"/>
      <c r="J299" s="1545"/>
      <c r="K299" s="1545"/>
      <c r="L299" s="1545"/>
      <c r="M299" s="1545"/>
      <c r="N299" s="4" t="s">
        <v>205</v>
      </c>
      <c r="O299" s="4"/>
      <c r="P299" s="1527"/>
      <c r="Q299" s="1527"/>
      <c r="R299" s="1527"/>
      <c r="S299" s="3"/>
      <c r="T299" s="3" t="s">
        <v>88</v>
      </c>
      <c r="V299" s="3"/>
      <c r="W299" s="3"/>
      <c r="X299" s="3"/>
      <c r="Y299" s="3"/>
      <c r="AA299" s="1545">
        <v>4082071310</v>
      </c>
      <c r="AB299" s="1545"/>
      <c r="AC299" s="1545"/>
      <c r="AD299" s="1545"/>
      <c r="AE299" s="1545"/>
      <c r="AF299" s="1545"/>
      <c r="AG299" s="4" t="s">
        <v>205</v>
      </c>
      <c r="AH299" s="4"/>
      <c r="AI299" s="1527"/>
      <c r="AJ299" s="1527"/>
      <c r="AK299" s="1527"/>
    </row>
    <row r="300" spans="2:37" ht="12.9" customHeight="1">
      <c r="B300" s="3" t="s">
        <v>89</v>
      </c>
      <c r="C300" s="3"/>
      <c r="D300" s="3"/>
      <c r="E300" s="3"/>
      <c r="F300" s="3"/>
      <c r="G300" s="3"/>
      <c r="H300" s="1524" t="s">
        <v>2719</v>
      </c>
      <c r="I300" s="1487"/>
      <c r="J300" s="1487"/>
      <c r="K300" s="1487"/>
      <c r="L300" s="1487"/>
      <c r="M300" s="1487"/>
      <c r="N300" s="4"/>
      <c r="O300" s="4"/>
      <c r="P300" s="35"/>
      <c r="Q300" s="35"/>
      <c r="R300" s="35"/>
      <c r="S300" s="3"/>
      <c r="T300" s="3" t="s">
        <v>89</v>
      </c>
      <c r="V300" s="3"/>
      <c r="W300" s="3"/>
      <c r="X300" s="3"/>
      <c r="Y300" s="3"/>
      <c r="AA300" s="1524" t="s">
        <v>2719</v>
      </c>
      <c r="AB300" s="1487"/>
      <c r="AC300" s="1487"/>
      <c r="AD300" s="1487"/>
      <c r="AE300" s="1487"/>
      <c r="AF300" s="1487"/>
      <c r="AG300" s="4"/>
      <c r="AH300" s="4"/>
      <c r="AI300" s="35"/>
      <c r="AJ300" s="35"/>
      <c r="AK300" s="35"/>
    </row>
    <row r="301" spans="2:37" ht="12.9" customHeight="1">
      <c r="B301" s="3" t="s">
        <v>76</v>
      </c>
      <c r="C301" s="3"/>
      <c r="D301" s="3"/>
      <c r="E301" s="3"/>
      <c r="F301" s="3"/>
      <c r="G301" s="3"/>
      <c r="H301" s="1371" t="s">
        <v>2648</v>
      </c>
      <c r="I301" s="1371"/>
      <c r="J301" s="1371"/>
      <c r="K301" s="1371"/>
      <c r="L301" s="1371"/>
      <c r="M301" s="1371"/>
      <c r="N301" s="1407"/>
      <c r="O301" s="1407"/>
      <c r="P301" s="1407"/>
      <c r="Q301" s="1407"/>
      <c r="R301" s="1407"/>
      <c r="S301" s="3"/>
      <c r="T301" s="3" t="s">
        <v>76</v>
      </c>
      <c r="V301" s="3"/>
      <c r="W301" s="3"/>
      <c r="X301" s="3"/>
      <c r="Y301" s="3"/>
      <c r="AA301" s="1371" t="s">
        <v>2735</v>
      </c>
      <c r="AB301" s="1371"/>
      <c r="AC301" s="1371"/>
      <c r="AD301" s="1371"/>
      <c r="AE301" s="1371"/>
      <c r="AF301" s="1371"/>
      <c r="AG301" s="1407"/>
      <c r="AH301" s="1407"/>
      <c r="AI301" s="1407"/>
      <c r="AJ301" s="1407"/>
      <c r="AK301" s="1407"/>
    </row>
    <row r="302" spans="2:37" ht="12.9" customHeight="1"/>
    <row r="303" spans="2:37" ht="12.9" customHeight="1">
      <c r="B303" s="3" t="s">
        <v>77</v>
      </c>
      <c r="C303" s="3"/>
      <c r="D303" s="3"/>
      <c r="E303" s="3"/>
      <c r="F303" s="3"/>
      <c r="H303" s="1407" t="s">
        <v>2644</v>
      </c>
      <c r="I303" s="1407"/>
      <c r="J303" s="1407"/>
      <c r="K303" s="1407"/>
      <c r="L303" s="1407"/>
      <c r="M303" s="1407"/>
      <c r="N303" s="1407"/>
      <c r="O303" s="1407"/>
      <c r="P303" s="1407"/>
      <c r="Q303" s="1407"/>
      <c r="R303" s="1407"/>
      <c r="T303" s="4" t="s">
        <v>877</v>
      </c>
      <c r="V303" s="3"/>
      <c r="W303" s="3"/>
      <c r="X303" s="3"/>
      <c r="Y303" s="3"/>
      <c r="AA303" s="1523" t="s">
        <v>2719</v>
      </c>
      <c r="AB303" s="1407"/>
      <c r="AC303" s="1407"/>
      <c r="AD303" s="1407"/>
      <c r="AE303" s="1407"/>
      <c r="AF303" s="1407"/>
      <c r="AG303" s="1407"/>
      <c r="AH303" s="1407"/>
      <c r="AI303" s="1407"/>
      <c r="AJ303" s="1407"/>
      <c r="AK303" s="1407"/>
    </row>
    <row r="304" spans="2:37" ht="12.9" customHeight="1">
      <c r="B304" s="3" t="s">
        <v>470</v>
      </c>
      <c r="C304" s="3"/>
      <c r="D304" s="3"/>
      <c r="E304" s="3"/>
      <c r="F304" s="3"/>
      <c r="H304" s="1371" t="s">
        <v>2645</v>
      </c>
      <c r="I304" s="1371"/>
      <c r="J304" s="1371"/>
      <c r="K304" s="1371"/>
      <c r="L304" s="1371"/>
      <c r="M304" s="1371"/>
      <c r="N304" s="1371"/>
      <c r="O304" s="1371"/>
      <c r="P304" s="1371"/>
      <c r="Q304" s="1371"/>
      <c r="R304" s="1371"/>
      <c r="T304" s="3" t="s">
        <v>470</v>
      </c>
      <c r="V304" s="3"/>
      <c r="W304" s="3"/>
      <c r="X304" s="3"/>
      <c r="Y304" s="3"/>
      <c r="AA304" s="1520" t="s">
        <v>2719</v>
      </c>
      <c r="AB304" s="1371"/>
      <c r="AC304" s="1371"/>
      <c r="AD304" s="1371"/>
      <c r="AE304" s="1371"/>
      <c r="AF304" s="1371"/>
      <c r="AG304" s="1371"/>
      <c r="AH304" s="1371"/>
      <c r="AI304" s="1371"/>
      <c r="AJ304" s="1371"/>
      <c r="AK304" s="1371"/>
    </row>
    <row r="305" spans="2:37" ht="12.9" customHeight="1">
      <c r="B305" s="3" t="s">
        <v>471</v>
      </c>
      <c r="C305" s="3"/>
      <c r="D305" s="3"/>
      <c r="E305" s="3"/>
      <c r="F305" s="3"/>
      <c r="H305" s="1371" t="s">
        <v>2646</v>
      </c>
      <c r="I305" s="1371"/>
      <c r="J305" s="1371"/>
      <c r="K305" s="1371"/>
      <c r="L305" s="1371"/>
      <c r="M305" s="1371"/>
      <c r="N305" s="1371"/>
      <c r="O305" s="1371"/>
      <c r="P305" s="1371"/>
      <c r="Q305" s="1371"/>
      <c r="R305" s="1371"/>
      <c r="T305" s="3" t="s">
        <v>75</v>
      </c>
      <c r="V305" s="3"/>
      <c r="W305" s="3"/>
      <c r="X305" s="3"/>
      <c r="Y305" s="3"/>
      <c r="AA305" s="1520" t="s">
        <v>2719</v>
      </c>
      <c r="AB305" s="1371"/>
      <c r="AC305" s="1371"/>
      <c r="AD305" s="1371"/>
      <c r="AE305" s="1371"/>
      <c r="AF305" s="1371"/>
      <c r="AG305" s="1371"/>
      <c r="AH305" s="1371"/>
      <c r="AI305" s="1371"/>
      <c r="AJ305" s="1371"/>
      <c r="AK305" s="1371"/>
    </row>
    <row r="306" spans="2:37" ht="12.9" customHeight="1">
      <c r="B306" s="3" t="s">
        <v>87</v>
      </c>
      <c r="C306" s="3"/>
      <c r="D306" s="3"/>
      <c r="E306" s="3"/>
      <c r="F306" s="3"/>
      <c r="H306" s="1520" t="s">
        <v>2721</v>
      </c>
      <c r="I306" s="1371"/>
      <c r="J306" s="1371"/>
      <c r="K306" s="1371"/>
      <c r="L306" s="1371"/>
      <c r="M306" s="1371"/>
      <c r="N306" s="1371"/>
      <c r="O306" s="1371"/>
      <c r="P306" s="1371"/>
      <c r="Q306" s="1371"/>
      <c r="R306" s="1371"/>
      <c r="T306" s="3" t="s">
        <v>87</v>
      </c>
      <c r="V306" s="3"/>
      <c r="W306" s="3"/>
      <c r="X306" s="3"/>
      <c r="Y306" s="3"/>
      <c r="AA306" s="1520" t="s">
        <v>2719</v>
      </c>
      <c r="AB306" s="1371"/>
      <c r="AC306" s="1371"/>
      <c r="AD306" s="1371"/>
      <c r="AE306" s="1371"/>
      <c r="AF306" s="1371"/>
      <c r="AG306" s="1371"/>
      <c r="AH306" s="1371"/>
      <c r="AI306" s="1371"/>
      <c r="AJ306" s="1371"/>
      <c r="AK306" s="1371"/>
    </row>
    <row r="307" spans="2:37" ht="12.9" customHeight="1">
      <c r="B307" s="3" t="s">
        <v>88</v>
      </c>
      <c r="C307" s="3"/>
      <c r="D307" s="3"/>
      <c r="E307" s="3"/>
      <c r="F307" s="3"/>
      <c r="G307" s="3"/>
      <c r="H307" s="1545">
        <v>5104336633</v>
      </c>
      <c r="I307" s="1545"/>
      <c r="J307" s="1545"/>
      <c r="K307" s="1545"/>
      <c r="L307" s="1545"/>
      <c r="M307" s="1545"/>
      <c r="N307" s="4" t="s">
        <v>205</v>
      </c>
      <c r="O307" s="4"/>
      <c r="P307" s="1527"/>
      <c r="Q307" s="1527"/>
      <c r="R307" s="1527"/>
      <c r="S307" s="3"/>
      <c r="T307" s="3" t="s">
        <v>88</v>
      </c>
      <c r="V307" s="3"/>
      <c r="W307" s="3"/>
      <c r="X307" s="3"/>
      <c r="Y307" s="3"/>
      <c r="AA307" s="1569" t="s">
        <v>2719</v>
      </c>
      <c r="AB307" s="1545"/>
      <c r="AC307" s="1545"/>
      <c r="AD307" s="1545"/>
      <c r="AE307" s="1545"/>
      <c r="AF307" s="1545"/>
      <c r="AG307" s="4" t="s">
        <v>205</v>
      </c>
      <c r="AH307" s="4"/>
      <c r="AI307" s="1527"/>
      <c r="AJ307" s="1527"/>
      <c r="AK307" s="1527"/>
    </row>
    <row r="308" spans="2:37" ht="12.9" customHeight="1">
      <c r="B308" s="3" t="s">
        <v>89</v>
      </c>
      <c r="C308" s="3"/>
      <c r="D308" s="3"/>
      <c r="E308" s="3"/>
      <c r="F308" s="3"/>
      <c r="G308" s="3"/>
      <c r="H308" s="1524" t="s">
        <v>2719</v>
      </c>
      <c r="I308" s="1487"/>
      <c r="J308" s="1487"/>
      <c r="K308" s="1487"/>
      <c r="L308" s="1487"/>
      <c r="M308" s="1487"/>
      <c r="N308" s="4"/>
      <c r="O308" s="4"/>
      <c r="P308" s="35"/>
      <c r="Q308" s="35"/>
      <c r="R308" s="35"/>
      <c r="S308" s="3"/>
      <c r="T308" s="3" t="s">
        <v>89</v>
      </c>
      <c r="V308" s="3"/>
      <c r="W308" s="3"/>
      <c r="X308" s="3"/>
      <c r="Y308" s="3"/>
      <c r="AA308" s="1524" t="s">
        <v>2719</v>
      </c>
      <c r="AB308" s="1487"/>
      <c r="AC308" s="1487"/>
      <c r="AD308" s="1487"/>
      <c r="AE308" s="1487"/>
      <c r="AF308" s="1487"/>
      <c r="AG308" s="4"/>
      <c r="AH308" s="4"/>
      <c r="AI308" s="35"/>
      <c r="AJ308" s="35"/>
      <c r="AK308" s="35"/>
    </row>
    <row r="309" spans="2:37" ht="12.9" customHeight="1">
      <c r="B309" s="3" t="s">
        <v>76</v>
      </c>
      <c r="C309" s="3"/>
      <c r="D309" s="3"/>
      <c r="E309" s="3"/>
      <c r="F309" s="3"/>
      <c r="G309" s="3"/>
      <c r="H309" s="1520" t="s">
        <v>2722</v>
      </c>
      <c r="I309" s="1371"/>
      <c r="J309" s="1371"/>
      <c r="K309" s="1371"/>
      <c r="L309" s="1371"/>
      <c r="M309" s="1371"/>
      <c r="N309" s="1407"/>
      <c r="O309" s="1407"/>
      <c r="P309" s="1407"/>
      <c r="Q309" s="1407"/>
      <c r="R309" s="1407"/>
      <c r="S309" s="3"/>
      <c r="T309" s="3" t="s">
        <v>76</v>
      </c>
      <c r="V309" s="3"/>
      <c r="W309" s="3"/>
      <c r="X309" s="3"/>
      <c r="Y309" s="3"/>
      <c r="AA309" s="1520" t="s">
        <v>2719</v>
      </c>
      <c r="AB309" s="1371"/>
      <c r="AC309" s="1371"/>
      <c r="AD309" s="1371"/>
      <c r="AE309" s="1371"/>
      <c r="AF309" s="1371"/>
      <c r="AG309" s="1407"/>
      <c r="AH309" s="1407"/>
      <c r="AI309" s="1407"/>
      <c r="AJ309" s="1407"/>
      <c r="AK309" s="1407"/>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906</v>
      </c>
      <c r="C311" s="3"/>
      <c r="D311" s="3"/>
      <c r="E311" s="3"/>
      <c r="F311" s="3"/>
      <c r="H311" s="1523" t="s">
        <v>2719</v>
      </c>
      <c r="I311" s="1407"/>
      <c r="J311" s="1407"/>
      <c r="K311" s="1407"/>
      <c r="L311" s="1407"/>
      <c r="M311" s="1407"/>
      <c r="N311" s="1407"/>
      <c r="O311" s="1407"/>
      <c r="P311" s="1407"/>
      <c r="Q311" s="1407"/>
      <c r="R311" s="1407"/>
      <c r="S311" s="3"/>
      <c r="T311" s="3" t="s">
        <v>364</v>
      </c>
      <c r="V311" s="3"/>
      <c r="W311" s="3"/>
      <c r="X311" s="3"/>
      <c r="Y311" s="3"/>
      <c r="AA311" s="1523" t="s">
        <v>2720</v>
      </c>
      <c r="AB311" s="1407"/>
      <c r="AC311" s="1407"/>
      <c r="AD311" s="1407"/>
      <c r="AE311" s="1407"/>
      <c r="AF311" s="1407"/>
      <c r="AG311" s="1407"/>
      <c r="AH311" s="1407"/>
      <c r="AI311" s="1407"/>
      <c r="AJ311" s="1407"/>
      <c r="AK311" s="1407"/>
    </row>
    <row r="312" spans="2:37" ht="12.9" customHeight="1">
      <c r="B312" s="3" t="s">
        <v>470</v>
      </c>
      <c r="C312" s="3"/>
      <c r="D312" s="3"/>
      <c r="E312" s="3"/>
      <c r="F312" s="3"/>
      <c r="H312" s="1520" t="s">
        <v>2719</v>
      </c>
      <c r="I312" s="1371"/>
      <c r="J312" s="1371"/>
      <c r="K312" s="1371"/>
      <c r="L312" s="1371"/>
      <c r="M312" s="1371"/>
      <c r="N312" s="1371"/>
      <c r="O312" s="1371"/>
      <c r="P312" s="1371"/>
      <c r="Q312" s="1371"/>
      <c r="R312" s="1371"/>
      <c r="S312" s="3"/>
      <c r="T312" s="3" t="s">
        <v>470</v>
      </c>
      <c r="V312" s="3"/>
      <c r="W312" s="3"/>
      <c r="X312" s="3"/>
      <c r="Y312" s="3"/>
      <c r="AA312" s="1520" t="s">
        <v>2723</v>
      </c>
      <c r="AB312" s="1371"/>
      <c r="AC312" s="1371"/>
      <c r="AD312" s="1371"/>
      <c r="AE312" s="1371"/>
      <c r="AF312" s="1371"/>
      <c r="AG312" s="1371"/>
      <c r="AH312" s="1371"/>
      <c r="AI312" s="1371"/>
      <c r="AJ312" s="1371"/>
      <c r="AK312" s="1371"/>
    </row>
    <row r="313" spans="2:37" ht="12.9" customHeight="1">
      <c r="B313" s="3" t="s">
        <v>471</v>
      </c>
      <c r="C313" s="3"/>
      <c r="D313" s="3"/>
      <c r="E313" s="3"/>
      <c r="F313" s="3"/>
      <c r="H313" s="1520" t="s">
        <v>2719</v>
      </c>
      <c r="I313" s="1371"/>
      <c r="J313" s="1371"/>
      <c r="K313" s="1371"/>
      <c r="L313" s="1371"/>
      <c r="M313" s="1371"/>
      <c r="N313" s="1371"/>
      <c r="O313" s="1371"/>
      <c r="P313" s="1371"/>
      <c r="Q313" s="1371"/>
      <c r="R313" s="1371"/>
      <c r="S313" s="3"/>
      <c r="T313" s="3" t="s">
        <v>75</v>
      </c>
      <c r="V313" s="3"/>
      <c r="W313" s="3"/>
      <c r="X313" s="3"/>
      <c r="Y313" s="3"/>
      <c r="AA313" s="1520" t="s">
        <v>2724</v>
      </c>
      <c r="AB313" s="1371"/>
      <c r="AC313" s="1371"/>
      <c r="AD313" s="1371"/>
      <c r="AE313" s="1371"/>
      <c r="AF313" s="1371"/>
      <c r="AG313" s="1371"/>
      <c r="AH313" s="1371"/>
      <c r="AI313" s="1371"/>
      <c r="AJ313" s="1371"/>
      <c r="AK313" s="1371"/>
    </row>
    <row r="314" spans="2:37" ht="12.9" customHeight="1">
      <c r="B314" s="3" t="s">
        <v>87</v>
      </c>
      <c r="C314" s="3"/>
      <c r="D314" s="3"/>
      <c r="E314" s="3"/>
      <c r="F314" s="3"/>
      <c r="H314" s="1520" t="s">
        <v>2719</v>
      </c>
      <c r="I314" s="1371"/>
      <c r="J314" s="1371"/>
      <c r="K314" s="1371"/>
      <c r="L314" s="1371"/>
      <c r="M314" s="1371"/>
      <c r="N314" s="1371"/>
      <c r="O314" s="1371"/>
      <c r="P314" s="1371"/>
      <c r="Q314" s="1371"/>
      <c r="R314" s="1371"/>
      <c r="S314" s="3"/>
      <c r="T314" s="3" t="s">
        <v>87</v>
      </c>
      <c r="V314" s="3"/>
      <c r="W314" s="3"/>
      <c r="X314" s="3"/>
      <c r="Y314" s="3"/>
      <c r="AA314" s="1520" t="s">
        <v>2725</v>
      </c>
      <c r="AB314" s="1371"/>
      <c r="AC314" s="1371"/>
      <c r="AD314" s="1371"/>
      <c r="AE314" s="1371"/>
      <c r="AF314" s="1371"/>
      <c r="AG314" s="1371"/>
      <c r="AH314" s="1371"/>
      <c r="AI314" s="1371"/>
      <c r="AJ314" s="1371"/>
      <c r="AK314" s="1371"/>
    </row>
    <row r="315" spans="2:37" ht="12.9" customHeight="1">
      <c r="B315" s="3" t="s">
        <v>88</v>
      </c>
      <c r="C315" s="3"/>
      <c r="D315" s="3"/>
      <c r="E315" s="3"/>
      <c r="F315" s="3"/>
      <c r="G315" s="3"/>
      <c r="H315" s="1569" t="s">
        <v>2719</v>
      </c>
      <c r="I315" s="1545"/>
      <c r="J315" s="1545"/>
      <c r="K315" s="1545"/>
      <c r="L315" s="1545"/>
      <c r="M315" s="1545"/>
      <c r="N315" s="4" t="s">
        <v>205</v>
      </c>
      <c r="O315" s="4"/>
      <c r="P315" s="1527"/>
      <c r="Q315" s="1527"/>
      <c r="R315" s="1527"/>
      <c r="S315" s="3"/>
      <c r="T315" s="3" t="s">
        <v>88</v>
      </c>
      <c r="V315" s="3"/>
      <c r="W315" s="3"/>
      <c r="X315" s="3"/>
      <c r="Y315" s="3"/>
      <c r="AA315" s="1545">
        <v>8583865198</v>
      </c>
      <c r="AB315" s="1545"/>
      <c r="AC315" s="1545"/>
      <c r="AD315" s="1545"/>
      <c r="AE315" s="1545"/>
      <c r="AF315" s="1545"/>
      <c r="AG315" s="4" t="s">
        <v>205</v>
      </c>
      <c r="AH315" s="4"/>
      <c r="AI315" s="1527"/>
      <c r="AJ315" s="1527"/>
      <c r="AK315" s="1527"/>
    </row>
    <row r="316" spans="2:37" ht="12.9" customHeight="1">
      <c r="B316" s="3" t="s">
        <v>89</v>
      </c>
      <c r="C316" s="3"/>
      <c r="D316" s="3"/>
      <c r="E316" s="3"/>
      <c r="F316" s="3"/>
      <c r="G316" s="3"/>
      <c r="H316" s="1524" t="s">
        <v>2719</v>
      </c>
      <c r="I316" s="1487"/>
      <c r="J316" s="1487"/>
      <c r="K316" s="1487"/>
      <c r="L316" s="1487"/>
      <c r="M316" s="1487"/>
      <c r="N316" s="4"/>
      <c r="O316" s="4"/>
      <c r="P316" s="35"/>
      <c r="Q316" s="35"/>
      <c r="R316" s="35"/>
      <c r="S316" s="3"/>
      <c r="T316" s="3" t="s">
        <v>89</v>
      </c>
      <c r="V316" s="3"/>
      <c r="W316" s="3"/>
      <c r="X316" s="3"/>
      <c r="Y316" s="3"/>
      <c r="AA316" s="1524" t="s">
        <v>2719</v>
      </c>
      <c r="AB316" s="1487"/>
      <c r="AC316" s="1487"/>
      <c r="AD316" s="1487"/>
      <c r="AE316" s="1487"/>
      <c r="AF316" s="1487"/>
      <c r="AG316" s="4"/>
      <c r="AH316" s="4"/>
      <c r="AI316" s="35"/>
      <c r="AJ316" s="35"/>
      <c r="AK316" s="35"/>
    </row>
    <row r="317" spans="2:37" ht="12.9" customHeight="1">
      <c r="B317" s="3" t="s">
        <v>76</v>
      </c>
      <c r="C317" s="3"/>
      <c r="D317" s="3"/>
      <c r="E317" s="3"/>
      <c r="F317" s="3"/>
      <c r="G317" s="3"/>
      <c r="H317" s="1520" t="s">
        <v>2719</v>
      </c>
      <c r="I317" s="1371"/>
      <c r="J317" s="1371"/>
      <c r="K317" s="1371"/>
      <c r="L317" s="1371"/>
      <c r="M317" s="1371"/>
      <c r="N317" s="1407"/>
      <c r="O317" s="1407"/>
      <c r="P317" s="1407"/>
      <c r="Q317" s="1407"/>
      <c r="R317" s="1407"/>
      <c r="S317" s="3"/>
      <c r="T317" s="3" t="s">
        <v>76</v>
      </c>
      <c r="V317" s="3"/>
      <c r="W317" s="3"/>
      <c r="X317" s="3"/>
      <c r="Y317" s="3"/>
      <c r="AA317" s="1520" t="s">
        <v>2726</v>
      </c>
      <c r="AB317" s="1371"/>
      <c r="AC317" s="1371"/>
      <c r="AD317" s="1371"/>
      <c r="AE317" s="1371"/>
      <c r="AF317" s="1371"/>
      <c r="AG317" s="1407"/>
      <c r="AH317" s="1407"/>
      <c r="AI317" s="1407"/>
      <c r="AJ317" s="1407"/>
      <c r="AK317" s="1407"/>
    </row>
    <row r="318" spans="2:37" ht="12.9" customHeight="1"/>
    <row r="319" spans="2:37" ht="12.9" customHeight="1">
      <c r="B319" s="4" t="s">
        <v>907</v>
      </c>
      <c r="C319" s="3"/>
      <c r="D319" s="3"/>
      <c r="E319" s="3"/>
      <c r="F319" s="3"/>
      <c r="H319" s="1407" t="s">
        <v>2649</v>
      </c>
      <c r="I319" s="1407"/>
      <c r="J319" s="1407"/>
      <c r="K319" s="1407"/>
      <c r="L319" s="1407"/>
      <c r="M319" s="1407"/>
      <c r="N319" s="1407"/>
      <c r="O319" s="1407"/>
      <c r="P319" s="1407"/>
      <c r="Q319" s="1407"/>
      <c r="R319" s="1407"/>
      <c r="T319" s="3" t="s">
        <v>365</v>
      </c>
      <c r="V319" s="3"/>
      <c r="W319" s="3"/>
      <c r="X319" s="3"/>
      <c r="Y319" s="3"/>
      <c r="AA319" s="1523" t="s">
        <v>2688</v>
      </c>
      <c r="AB319" s="1407"/>
      <c r="AC319" s="1407"/>
      <c r="AD319" s="1407"/>
      <c r="AE319" s="1407"/>
      <c r="AF319" s="1407"/>
      <c r="AG319" s="1407"/>
      <c r="AH319" s="1407"/>
      <c r="AI319" s="1407"/>
      <c r="AJ319" s="1407"/>
      <c r="AK319" s="1407"/>
    </row>
    <row r="320" spans="2:37" ht="12.9" customHeight="1">
      <c r="B320" s="3" t="s">
        <v>470</v>
      </c>
      <c r="C320" s="3"/>
      <c r="D320" s="3"/>
      <c r="E320" s="3"/>
      <c r="F320" s="3"/>
      <c r="H320" s="1371" t="s">
        <v>2650</v>
      </c>
      <c r="I320" s="1371"/>
      <c r="J320" s="1371"/>
      <c r="K320" s="1371"/>
      <c r="L320" s="1371"/>
      <c r="M320" s="1371"/>
      <c r="N320" s="1371"/>
      <c r="O320" s="1371"/>
      <c r="P320" s="1371"/>
      <c r="Q320" s="1371"/>
      <c r="R320" s="1371"/>
      <c r="T320" s="3" t="s">
        <v>470</v>
      </c>
      <c r="V320" s="3"/>
      <c r="W320" s="3"/>
      <c r="X320" s="3"/>
      <c r="Y320" s="3"/>
      <c r="AA320" s="1520" t="s">
        <v>2727</v>
      </c>
      <c r="AB320" s="1371"/>
      <c r="AC320" s="1371"/>
      <c r="AD320" s="1371"/>
      <c r="AE320" s="1371"/>
      <c r="AF320" s="1371"/>
      <c r="AG320" s="1371"/>
      <c r="AH320" s="1371"/>
      <c r="AI320" s="1371"/>
      <c r="AJ320" s="1371"/>
      <c r="AK320" s="1371"/>
    </row>
    <row r="321" spans="2:37" ht="12.9" customHeight="1">
      <c r="B321" s="3" t="s">
        <v>471</v>
      </c>
      <c r="C321" s="3"/>
      <c r="D321" s="3"/>
      <c r="E321" s="3"/>
      <c r="F321" s="3"/>
      <c r="H321" s="1371" t="s">
        <v>2651</v>
      </c>
      <c r="I321" s="1371"/>
      <c r="J321" s="1371"/>
      <c r="K321" s="1371"/>
      <c r="L321" s="1371"/>
      <c r="M321" s="1371"/>
      <c r="N321" s="1371"/>
      <c r="O321" s="1371"/>
      <c r="P321" s="1371"/>
      <c r="Q321" s="1371"/>
      <c r="R321" s="1371"/>
      <c r="T321" s="3" t="s">
        <v>75</v>
      </c>
      <c r="V321" s="3"/>
      <c r="W321" s="3"/>
      <c r="X321" s="3"/>
      <c r="Y321" s="3"/>
      <c r="AA321" s="1520" t="s">
        <v>2690</v>
      </c>
      <c r="AB321" s="1371"/>
      <c r="AC321" s="1371"/>
      <c r="AD321" s="1371"/>
      <c r="AE321" s="1371"/>
      <c r="AF321" s="1371"/>
      <c r="AG321" s="1371"/>
      <c r="AH321" s="1371"/>
      <c r="AI321" s="1371"/>
      <c r="AJ321" s="1371"/>
      <c r="AK321" s="1371"/>
    </row>
    <row r="322" spans="2:37" ht="12.9" customHeight="1">
      <c r="B322" s="3" t="s">
        <v>87</v>
      </c>
      <c r="C322" s="3"/>
      <c r="D322" s="3"/>
      <c r="E322" s="3"/>
      <c r="F322" s="3"/>
      <c r="H322" s="1371" t="s">
        <v>2623</v>
      </c>
      <c r="I322" s="1371"/>
      <c r="J322" s="1371"/>
      <c r="K322" s="1371"/>
      <c r="L322" s="1371"/>
      <c r="M322" s="1371"/>
      <c r="N322" s="1371"/>
      <c r="O322" s="1371"/>
      <c r="P322" s="1371"/>
      <c r="Q322" s="1371"/>
      <c r="R322" s="1371"/>
      <c r="T322" s="3" t="s">
        <v>87</v>
      </c>
      <c r="V322" s="3"/>
      <c r="W322" s="3"/>
      <c r="X322" s="3"/>
      <c r="Y322" s="3"/>
      <c r="AA322" s="1520" t="s">
        <v>2728</v>
      </c>
      <c r="AB322" s="1371"/>
      <c r="AC322" s="1371"/>
      <c r="AD322" s="1371"/>
      <c r="AE322" s="1371"/>
      <c r="AF322" s="1371"/>
      <c r="AG322" s="1371"/>
      <c r="AH322" s="1371"/>
      <c r="AI322" s="1371"/>
      <c r="AJ322" s="1371"/>
      <c r="AK322" s="1371"/>
    </row>
    <row r="323" spans="2:37" ht="12.9" customHeight="1">
      <c r="B323" s="3" t="s">
        <v>88</v>
      </c>
      <c r="C323" s="3"/>
      <c r="D323" s="3"/>
      <c r="E323" s="3"/>
      <c r="F323" s="3"/>
      <c r="G323" s="3"/>
      <c r="H323" s="1545">
        <v>9515386244</v>
      </c>
      <c r="I323" s="1545"/>
      <c r="J323" s="1545"/>
      <c r="K323" s="1545"/>
      <c r="L323" s="1545"/>
      <c r="M323" s="1545"/>
      <c r="N323" s="4" t="s">
        <v>205</v>
      </c>
      <c r="O323" s="4"/>
      <c r="P323" s="1527"/>
      <c r="Q323" s="1527"/>
      <c r="R323" s="1527"/>
      <c r="S323" s="3"/>
      <c r="T323" s="3" t="s">
        <v>88</v>
      </c>
      <c r="V323" s="3"/>
      <c r="W323" s="3"/>
      <c r="X323" s="3"/>
      <c r="Y323" s="3"/>
      <c r="AA323" s="1545">
        <v>9133124616</v>
      </c>
      <c r="AB323" s="1545"/>
      <c r="AC323" s="1545"/>
      <c r="AD323" s="1545"/>
      <c r="AE323" s="1545"/>
      <c r="AF323" s="1545"/>
      <c r="AG323" s="4" t="s">
        <v>205</v>
      </c>
      <c r="AH323" s="4"/>
      <c r="AI323" s="1527"/>
      <c r="AJ323" s="1527"/>
      <c r="AK323" s="1527"/>
    </row>
    <row r="324" spans="2:37" ht="12.9" customHeight="1">
      <c r="B324" s="3" t="s">
        <v>89</v>
      </c>
      <c r="C324" s="3"/>
      <c r="D324" s="3"/>
      <c r="E324" s="3"/>
      <c r="F324" s="3"/>
      <c r="G324" s="3"/>
      <c r="H324" s="1524" t="s">
        <v>2719</v>
      </c>
      <c r="I324" s="1487"/>
      <c r="J324" s="1487"/>
      <c r="K324" s="1487"/>
      <c r="L324" s="1487"/>
      <c r="M324" s="1487"/>
      <c r="N324" s="4"/>
      <c r="O324" s="4"/>
      <c r="P324" s="35"/>
      <c r="Q324" s="35"/>
      <c r="R324" s="35"/>
      <c r="S324" s="3"/>
      <c r="T324" s="3" t="s">
        <v>89</v>
      </c>
      <c r="V324" s="3"/>
      <c r="W324" s="3"/>
      <c r="X324" s="3"/>
      <c r="Y324" s="3"/>
      <c r="AA324" s="1524" t="s">
        <v>2719</v>
      </c>
      <c r="AB324" s="1487"/>
      <c r="AC324" s="1487"/>
      <c r="AD324" s="1487"/>
      <c r="AE324" s="1487"/>
      <c r="AF324" s="1487"/>
      <c r="AG324" s="4"/>
      <c r="AH324" s="4"/>
      <c r="AI324" s="35"/>
      <c r="AJ324" s="35"/>
      <c r="AK324" s="35"/>
    </row>
    <row r="325" spans="2:37" ht="12.9" customHeight="1">
      <c r="B325" s="3" t="s">
        <v>76</v>
      </c>
      <c r="C325" s="3"/>
      <c r="D325" s="3"/>
      <c r="E325" s="3"/>
      <c r="F325" s="3"/>
      <c r="G325" s="3"/>
      <c r="H325" s="1371" t="s">
        <v>2634</v>
      </c>
      <c r="I325" s="1371"/>
      <c r="J325" s="1371"/>
      <c r="K325" s="1371"/>
      <c r="L325" s="1371"/>
      <c r="M325" s="1371"/>
      <c r="N325" s="1407"/>
      <c r="O325" s="1407"/>
      <c r="P325" s="1407"/>
      <c r="Q325" s="1407"/>
      <c r="R325" s="1407"/>
      <c r="S325" s="3"/>
      <c r="T325" s="3" t="s">
        <v>76</v>
      </c>
      <c r="V325" s="3"/>
      <c r="W325" s="3"/>
      <c r="X325" s="3"/>
      <c r="Y325" s="3"/>
      <c r="AA325" s="1520" t="s">
        <v>2729</v>
      </c>
      <c r="AB325" s="1371"/>
      <c r="AC325" s="1371"/>
      <c r="AD325" s="1371"/>
      <c r="AE325" s="1371"/>
      <c r="AF325" s="1371"/>
      <c r="AG325" s="1407"/>
      <c r="AH325" s="1407"/>
      <c r="AI325" s="1407"/>
      <c r="AJ325" s="1407"/>
      <c r="AK325" s="1407"/>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7" t="s">
        <v>2688</v>
      </c>
      <c r="I327" s="1407"/>
      <c r="J327" s="1407"/>
      <c r="K327" s="1407"/>
      <c r="L327" s="1407"/>
      <c r="M327" s="1407"/>
      <c r="N327" s="1407"/>
      <c r="O327" s="1407"/>
      <c r="P327" s="1407"/>
      <c r="Q327" s="1407"/>
      <c r="R327" s="1407"/>
      <c r="T327" s="3" t="s">
        <v>367</v>
      </c>
      <c r="V327" s="3"/>
      <c r="W327" s="3"/>
      <c r="X327" s="3"/>
      <c r="Y327" s="3"/>
      <c r="AA327" s="1523" t="s">
        <v>2719</v>
      </c>
      <c r="AB327" s="1407"/>
      <c r="AC327" s="1407"/>
      <c r="AD327" s="1407"/>
      <c r="AE327" s="1407"/>
      <c r="AF327" s="1407"/>
      <c r="AG327" s="1407"/>
      <c r="AH327" s="1407"/>
      <c r="AI327" s="1407"/>
      <c r="AJ327" s="1407"/>
      <c r="AK327" s="1407"/>
    </row>
    <row r="328" spans="2:37" ht="12.9" customHeight="1">
      <c r="B328" s="3" t="s">
        <v>470</v>
      </c>
      <c r="C328" s="3"/>
      <c r="D328" s="3"/>
      <c r="E328" s="3"/>
      <c r="F328" s="3"/>
      <c r="H328" s="1371" t="s">
        <v>2689</v>
      </c>
      <c r="I328" s="1371"/>
      <c r="J328" s="1371"/>
      <c r="K328" s="1371"/>
      <c r="L328" s="1371"/>
      <c r="M328" s="1371"/>
      <c r="N328" s="1371"/>
      <c r="O328" s="1371"/>
      <c r="P328" s="1371"/>
      <c r="Q328" s="1371"/>
      <c r="R328" s="1371"/>
      <c r="T328" s="3" t="s">
        <v>470</v>
      </c>
      <c r="V328" s="3"/>
      <c r="W328" s="3"/>
      <c r="X328" s="3"/>
      <c r="Y328" s="3"/>
      <c r="AA328" s="1520" t="s">
        <v>2719</v>
      </c>
      <c r="AB328" s="1371"/>
      <c r="AC328" s="1371"/>
      <c r="AD328" s="1371"/>
      <c r="AE328" s="1371"/>
      <c r="AF328" s="1371"/>
      <c r="AG328" s="1371"/>
      <c r="AH328" s="1371"/>
      <c r="AI328" s="1371"/>
      <c r="AJ328" s="1371"/>
      <c r="AK328" s="1371"/>
    </row>
    <row r="329" spans="2:37" ht="12.9" customHeight="1">
      <c r="B329" s="3" t="s">
        <v>471</v>
      </c>
      <c r="C329" s="3"/>
      <c r="D329" s="3"/>
      <c r="E329" s="3"/>
      <c r="F329" s="3"/>
      <c r="H329" s="1371" t="s">
        <v>2690</v>
      </c>
      <c r="I329" s="1371"/>
      <c r="J329" s="1371"/>
      <c r="K329" s="1371"/>
      <c r="L329" s="1371"/>
      <c r="M329" s="1371"/>
      <c r="N329" s="1371"/>
      <c r="O329" s="1371"/>
      <c r="P329" s="1371"/>
      <c r="Q329" s="1371"/>
      <c r="R329" s="1371"/>
      <c r="T329" s="3" t="s">
        <v>75</v>
      </c>
      <c r="V329" s="3"/>
      <c r="W329" s="3"/>
      <c r="X329" s="3"/>
      <c r="Y329" s="3"/>
      <c r="AA329" s="1520" t="s">
        <v>2719</v>
      </c>
      <c r="AB329" s="1371"/>
      <c r="AC329" s="1371"/>
      <c r="AD329" s="1371"/>
      <c r="AE329" s="1371"/>
      <c r="AF329" s="1371"/>
      <c r="AG329" s="1371"/>
      <c r="AH329" s="1371"/>
      <c r="AI329" s="1371"/>
      <c r="AJ329" s="1371"/>
      <c r="AK329" s="1371"/>
    </row>
    <row r="330" spans="2:37" ht="12.9" customHeight="1">
      <c r="B330" s="3" t="s">
        <v>87</v>
      </c>
      <c r="C330" s="3"/>
      <c r="D330" s="3"/>
      <c r="E330" s="3"/>
      <c r="F330" s="3"/>
      <c r="H330" s="1371" t="s">
        <v>2691</v>
      </c>
      <c r="I330" s="1371"/>
      <c r="J330" s="1371"/>
      <c r="K330" s="1371"/>
      <c r="L330" s="1371"/>
      <c r="M330" s="1371"/>
      <c r="N330" s="1371"/>
      <c r="O330" s="1371"/>
      <c r="P330" s="1371"/>
      <c r="Q330" s="1371"/>
      <c r="R330" s="1371"/>
      <c r="T330" s="3" t="s">
        <v>87</v>
      </c>
      <c r="V330" s="3"/>
      <c r="W330" s="3"/>
      <c r="X330" s="3"/>
      <c r="Y330" s="3"/>
      <c r="AA330" s="1520" t="s">
        <v>2719</v>
      </c>
      <c r="AB330" s="1371"/>
      <c r="AC330" s="1371"/>
      <c r="AD330" s="1371"/>
      <c r="AE330" s="1371"/>
      <c r="AF330" s="1371"/>
      <c r="AG330" s="1371"/>
      <c r="AH330" s="1371"/>
      <c r="AI330" s="1371"/>
      <c r="AJ330" s="1371"/>
      <c r="AK330" s="1371"/>
    </row>
    <row r="331" spans="2:37" ht="12.9" customHeight="1">
      <c r="B331" s="3" t="s">
        <v>88</v>
      </c>
      <c r="C331" s="3"/>
      <c r="D331" s="3"/>
      <c r="E331" s="3"/>
      <c r="F331" s="3"/>
      <c r="G331" s="3"/>
      <c r="H331" s="1545">
        <v>9133124612</v>
      </c>
      <c r="I331" s="1545"/>
      <c r="J331" s="1545"/>
      <c r="K331" s="1545"/>
      <c r="L331" s="1545"/>
      <c r="M331" s="1545"/>
      <c r="N331" s="4" t="s">
        <v>205</v>
      </c>
      <c r="O331" s="4"/>
      <c r="P331" s="1527"/>
      <c r="Q331" s="1527"/>
      <c r="R331" s="1527"/>
      <c r="S331" s="3"/>
      <c r="T331" s="3" t="s">
        <v>88</v>
      </c>
      <c r="V331" s="3"/>
      <c r="W331" s="3"/>
      <c r="X331" s="3"/>
      <c r="Y331" s="3"/>
      <c r="AA331" s="1569" t="s">
        <v>2719</v>
      </c>
      <c r="AB331" s="1545"/>
      <c r="AC331" s="1545"/>
      <c r="AD331" s="1545"/>
      <c r="AE331" s="1545"/>
      <c r="AF331" s="1545"/>
      <c r="AG331" s="4" t="s">
        <v>205</v>
      </c>
      <c r="AH331" s="4"/>
      <c r="AI331" s="1527"/>
      <c r="AJ331" s="1527"/>
      <c r="AK331" s="1527"/>
    </row>
    <row r="332" spans="2:37" ht="12.9" customHeight="1">
      <c r="B332" s="3" t="s">
        <v>89</v>
      </c>
      <c r="C332" s="3"/>
      <c r="D332" s="3"/>
      <c r="E332" s="3"/>
      <c r="F332" s="3"/>
      <c r="G332" s="3"/>
      <c r="H332" s="1524" t="s">
        <v>2719</v>
      </c>
      <c r="I332" s="1487"/>
      <c r="J332" s="1487"/>
      <c r="K332" s="1487"/>
      <c r="L332" s="1487"/>
      <c r="M332" s="1487"/>
      <c r="N332" s="4"/>
      <c r="O332" s="4"/>
      <c r="P332" s="35"/>
      <c r="Q332" s="35"/>
      <c r="R332" s="35"/>
      <c r="S332" s="3"/>
      <c r="T332" s="3" t="s">
        <v>89</v>
      </c>
      <c r="V332" s="3"/>
      <c r="W332" s="3"/>
      <c r="X332" s="3"/>
      <c r="Y332" s="3"/>
      <c r="AA332" s="1524" t="s">
        <v>2719</v>
      </c>
      <c r="AB332" s="1487"/>
      <c r="AC332" s="1487"/>
      <c r="AD332" s="1487"/>
      <c r="AE332" s="1487"/>
      <c r="AF332" s="1487"/>
      <c r="AG332" s="4"/>
      <c r="AH332" s="4"/>
      <c r="AI332" s="35"/>
      <c r="AJ332" s="35"/>
      <c r="AK332" s="35"/>
    </row>
    <row r="333" spans="2:37" ht="12.9" customHeight="1">
      <c r="B333" s="3" t="s">
        <v>76</v>
      </c>
      <c r="C333" s="3"/>
      <c r="D333" s="3"/>
      <c r="E333" s="3"/>
      <c r="F333" s="3"/>
      <c r="G333" s="3"/>
      <c r="H333" s="1371" t="s">
        <v>2692</v>
      </c>
      <c r="I333" s="1371"/>
      <c r="J333" s="1371"/>
      <c r="K333" s="1371"/>
      <c r="L333" s="1371"/>
      <c r="M333" s="1371"/>
      <c r="N333" s="1407"/>
      <c r="O333" s="1407"/>
      <c r="P333" s="1407"/>
      <c r="Q333" s="1407"/>
      <c r="R333" s="1407"/>
      <c r="S333" s="3"/>
      <c r="T333" s="3" t="s">
        <v>76</v>
      </c>
      <c r="V333" s="3"/>
      <c r="W333" s="3"/>
      <c r="X333" s="3"/>
      <c r="Y333" s="3"/>
      <c r="AA333" s="1520" t="s">
        <v>2719</v>
      </c>
      <c r="AB333" s="1371"/>
      <c r="AC333" s="1371"/>
      <c r="AD333" s="1371"/>
      <c r="AE333" s="1371"/>
      <c r="AF333" s="1371"/>
      <c r="AG333" s="1407"/>
      <c r="AH333" s="1407"/>
      <c r="AI333" s="1407"/>
      <c r="AJ333" s="1407"/>
      <c r="AK333" s="1407"/>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523" t="s">
        <v>2730</v>
      </c>
      <c r="I335" s="1407"/>
      <c r="J335" s="1407"/>
      <c r="K335" s="1407"/>
      <c r="L335" s="1407"/>
      <c r="M335" s="1407"/>
      <c r="N335" s="1407"/>
      <c r="O335" s="1407"/>
      <c r="P335" s="1407"/>
      <c r="Q335" s="1407"/>
      <c r="R335" s="1407"/>
      <c r="T335" s="204" t="s">
        <v>885</v>
      </c>
      <c r="V335" s="3"/>
      <c r="W335" s="3"/>
      <c r="X335" s="3"/>
      <c r="Y335" s="3"/>
      <c r="AA335" s="1407" t="s">
        <v>2652</v>
      </c>
      <c r="AB335" s="1407"/>
      <c r="AC335" s="1407"/>
      <c r="AD335" s="1407"/>
      <c r="AE335" s="1407"/>
      <c r="AF335" s="1407"/>
      <c r="AG335" s="1407"/>
      <c r="AH335" s="1407"/>
      <c r="AI335" s="1407"/>
      <c r="AJ335" s="1407"/>
      <c r="AK335" s="1407"/>
    </row>
    <row r="336" spans="2:37" ht="12.9" customHeight="1">
      <c r="B336" s="3" t="s">
        <v>470</v>
      </c>
      <c r="C336" s="3"/>
      <c r="D336" s="3"/>
      <c r="E336" s="3"/>
      <c r="F336" s="3"/>
      <c r="H336" s="1371" t="s">
        <v>2684</v>
      </c>
      <c r="I336" s="1371"/>
      <c r="J336" s="1371"/>
      <c r="K336" s="1371"/>
      <c r="L336" s="1371"/>
      <c r="M336" s="1371"/>
      <c r="N336" s="1371"/>
      <c r="O336" s="1371"/>
      <c r="P336" s="1371"/>
      <c r="Q336" s="1371"/>
      <c r="R336" s="1371"/>
      <c r="T336" s="3" t="s">
        <v>470</v>
      </c>
      <c r="V336" s="3"/>
      <c r="W336" s="3"/>
      <c r="X336" s="3"/>
      <c r="Y336" s="3"/>
      <c r="AA336" s="1371" t="s">
        <v>2653</v>
      </c>
      <c r="AB336" s="1371"/>
      <c r="AC336" s="1371"/>
      <c r="AD336" s="1371"/>
      <c r="AE336" s="1371"/>
      <c r="AF336" s="1371"/>
      <c r="AG336" s="1371"/>
      <c r="AH336" s="1371"/>
      <c r="AI336" s="1371"/>
      <c r="AJ336" s="1371"/>
      <c r="AK336" s="1371"/>
    </row>
    <row r="337" spans="1:66" ht="12.9" customHeight="1">
      <c r="B337" s="3" t="s">
        <v>75</v>
      </c>
      <c r="C337" s="3"/>
      <c r="D337" s="3"/>
      <c r="E337" s="3"/>
      <c r="F337" s="3"/>
      <c r="H337" s="1371" t="s">
        <v>2685</v>
      </c>
      <c r="I337" s="1371"/>
      <c r="J337" s="1371"/>
      <c r="K337" s="1371"/>
      <c r="L337" s="1371"/>
      <c r="M337" s="1371"/>
      <c r="N337" s="1371"/>
      <c r="O337" s="1371"/>
      <c r="P337" s="1371"/>
      <c r="Q337" s="1371"/>
      <c r="R337" s="1371"/>
      <c r="T337" s="3" t="s">
        <v>75</v>
      </c>
      <c r="V337" s="3"/>
      <c r="W337" s="3"/>
      <c r="X337" s="3"/>
      <c r="Y337" s="3"/>
      <c r="AA337" s="1371" t="s">
        <v>2654</v>
      </c>
      <c r="AB337" s="1371"/>
      <c r="AC337" s="1371"/>
      <c r="AD337" s="1371"/>
      <c r="AE337" s="1371"/>
      <c r="AF337" s="1371"/>
      <c r="AG337" s="1371"/>
      <c r="AH337" s="1371"/>
      <c r="AI337" s="1371"/>
      <c r="AJ337" s="1371"/>
      <c r="AK337" s="1371"/>
    </row>
    <row r="338" spans="1:66" ht="12.9" customHeight="1">
      <c r="B338" s="3" t="s">
        <v>87</v>
      </c>
      <c r="C338" s="3"/>
      <c r="D338" s="3"/>
      <c r="E338" s="3"/>
      <c r="F338" s="3"/>
      <c r="G338" s="3"/>
      <c r="H338" s="1371" t="s">
        <v>2686</v>
      </c>
      <c r="I338" s="1371"/>
      <c r="J338" s="1371"/>
      <c r="K338" s="1371"/>
      <c r="L338" s="1371"/>
      <c r="M338" s="1371"/>
      <c r="N338" s="1371"/>
      <c r="O338" s="1371"/>
      <c r="P338" s="1371"/>
      <c r="Q338" s="1371"/>
      <c r="R338" s="1371"/>
      <c r="T338" s="3" t="s">
        <v>87</v>
      </c>
      <c r="V338" s="3"/>
      <c r="W338" s="3"/>
      <c r="X338" s="3"/>
      <c r="Y338" s="3"/>
      <c r="AA338" s="1371" t="s">
        <v>2655</v>
      </c>
      <c r="AB338" s="1371"/>
      <c r="AC338" s="1371"/>
      <c r="AD338" s="1371"/>
      <c r="AE338" s="1371"/>
      <c r="AF338" s="1371"/>
      <c r="AG338" s="1371"/>
      <c r="AH338" s="1371"/>
      <c r="AI338" s="1371"/>
      <c r="AJ338" s="1371"/>
      <c r="AK338" s="1371"/>
    </row>
    <row r="339" spans="1:66" ht="12.9" customHeight="1">
      <c r="B339" s="3" t="s">
        <v>88</v>
      </c>
      <c r="C339" s="3"/>
      <c r="D339" s="3"/>
      <c r="E339" s="3"/>
      <c r="F339" s="3"/>
      <c r="G339" s="3"/>
      <c r="H339" s="1545">
        <v>7609301221</v>
      </c>
      <c r="I339" s="1545"/>
      <c r="J339" s="1545"/>
      <c r="K339" s="1545"/>
      <c r="L339" s="1545"/>
      <c r="M339" s="1545"/>
      <c r="N339" s="4" t="s">
        <v>205</v>
      </c>
      <c r="O339" s="4"/>
      <c r="P339" s="1527"/>
      <c r="Q339" s="1527"/>
      <c r="R339" s="1527"/>
      <c r="S339" s="3"/>
      <c r="T339" s="3" t="s">
        <v>88</v>
      </c>
      <c r="V339" s="3"/>
      <c r="W339" s="3"/>
      <c r="X339" s="3"/>
      <c r="Y339" s="3"/>
      <c r="AA339" s="1545">
        <v>8314385725</v>
      </c>
      <c r="AB339" s="1545"/>
      <c r="AC339" s="1545"/>
      <c r="AD339" s="1545"/>
      <c r="AE339" s="1545"/>
      <c r="AF339" s="1545"/>
      <c r="AG339" s="4" t="s">
        <v>205</v>
      </c>
      <c r="AH339" s="4"/>
      <c r="AI339" s="1527"/>
      <c r="AJ339" s="1527"/>
      <c r="AK339" s="1527"/>
    </row>
    <row r="340" spans="1:66" ht="12.9" customHeight="1">
      <c r="B340" s="3" t="s">
        <v>89</v>
      </c>
      <c r="C340" s="3"/>
      <c r="D340" s="3"/>
      <c r="E340" s="3"/>
      <c r="F340" s="3"/>
      <c r="G340" s="3"/>
      <c r="H340" s="1524" t="s">
        <v>2719</v>
      </c>
      <c r="I340" s="1487"/>
      <c r="J340" s="1487"/>
      <c r="K340" s="1487"/>
      <c r="L340" s="1487"/>
      <c r="M340" s="1487"/>
      <c r="N340" s="4"/>
      <c r="O340" s="4"/>
      <c r="P340" s="35"/>
      <c r="Q340" s="35"/>
      <c r="R340" s="35"/>
      <c r="S340" s="3"/>
      <c r="T340" s="3" t="s">
        <v>89</v>
      </c>
      <c r="V340" s="3"/>
      <c r="W340" s="3"/>
      <c r="X340" s="3"/>
      <c r="Y340" s="3"/>
      <c r="AA340" s="1524" t="s">
        <v>2719</v>
      </c>
      <c r="AB340" s="1487"/>
      <c r="AC340" s="1487"/>
      <c r="AD340" s="1487"/>
      <c r="AE340" s="1487"/>
      <c r="AF340" s="1487"/>
      <c r="AG340" s="4"/>
      <c r="AH340" s="4"/>
      <c r="AI340" s="35"/>
      <c r="AJ340" s="35"/>
      <c r="AK340" s="35"/>
    </row>
    <row r="341" spans="1:66" ht="12.9" customHeight="1">
      <c r="B341" s="3" t="s">
        <v>76</v>
      </c>
      <c r="C341" s="3"/>
      <c r="D341" s="3"/>
      <c r="E341" s="3"/>
      <c r="F341" s="3"/>
      <c r="G341" s="3"/>
      <c r="H341" s="1371" t="s">
        <v>2687</v>
      </c>
      <c r="I341" s="1371"/>
      <c r="J341" s="1371"/>
      <c r="K341" s="1371"/>
      <c r="L341" s="1371"/>
      <c r="M341" s="1371"/>
      <c r="N341" s="1407"/>
      <c r="O341" s="1407"/>
      <c r="P341" s="1407"/>
      <c r="Q341" s="1407"/>
      <c r="R341" s="1407"/>
      <c r="S341" s="3"/>
      <c r="T341" s="3" t="s">
        <v>76</v>
      </c>
      <c r="V341" s="3"/>
      <c r="W341" s="3"/>
      <c r="X341" s="3"/>
      <c r="Y341" s="3"/>
      <c r="AA341" s="1371" t="s">
        <v>2656</v>
      </c>
      <c r="AB341" s="1371"/>
      <c r="AC341" s="1371"/>
      <c r="AD341" s="1371"/>
      <c r="AE341" s="1371"/>
      <c r="AF341" s="1371"/>
      <c r="AG341" s="1407"/>
      <c r="AH341" s="1407"/>
      <c r="AI341" s="1407"/>
      <c r="AJ341" s="1407"/>
      <c r="AK341" s="1407"/>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 customHeight="1">
      <c r="B343" s="3"/>
      <c r="C343" s="4"/>
      <c r="D343" s="4"/>
      <c r="E343" s="4"/>
      <c r="F343" s="4"/>
      <c r="I343" s="204" t="s">
        <v>886</v>
      </c>
      <c r="P343" s="1523" t="s">
        <v>2719</v>
      </c>
      <c r="Q343" s="1407"/>
      <c r="R343" s="1407"/>
      <c r="S343" s="1407"/>
      <c r="T343" s="1407"/>
      <c r="U343" s="1407"/>
      <c r="V343" s="1407"/>
      <c r="W343" s="1407"/>
      <c r="X343" s="1407"/>
      <c r="Y343" s="1407"/>
      <c r="Z343" s="1407"/>
      <c r="AA343" s="1407"/>
      <c r="AB343" s="1407"/>
      <c r="AC343" s="1407"/>
      <c r="AD343" s="1407"/>
      <c r="AE343" s="1407"/>
      <c r="BN343" t="s">
        <v>668</v>
      </c>
    </row>
    <row r="344" spans="1:66" ht="12.9" customHeight="1">
      <c r="B344" s="4"/>
      <c r="C344" s="4"/>
      <c r="D344" s="4"/>
      <c r="E344" s="4"/>
      <c r="F344" s="4"/>
      <c r="I344" s="4" t="s">
        <v>470</v>
      </c>
      <c r="P344" s="1520" t="s">
        <v>2719</v>
      </c>
      <c r="Q344" s="1371"/>
      <c r="R344" s="1371"/>
      <c r="S344" s="1371"/>
      <c r="T344" s="1371"/>
      <c r="U344" s="1371"/>
      <c r="V344" s="1371"/>
      <c r="W344" s="1371"/>
      <c r="X344" s="1371"/>
      <c r="Y344" s="1371"/>
      <c r="Z344" s="1371"/>
      <c r="AA344" s="1371"/>
      <c r="AB344" s="1371"/>
      <c r="AC344" s="1371"/>
      <c r="AD344" s="1371"/>
      <c r="AE344" s="1371"/>
      <c r="BN344" t="s">
        <v>544</v>
      </c>
    </row>
    <row r="345" spans="1:66" ht="12.9" customHeight="1">
      <c r="B345" s="4"/>
      <c r="C345" s="4"/>
      <c r="D345" s="4"/>
      <c r="E345" s="4"/>
      <c r="F345" s="4"/>
      <c r="I345" s="4" t="s">
        <v>75</v>
      </c>
      <c r="P345" s="1520" t="s">
        <v>2719</v>
      </c>
      <c r="Q345" s="1371"/>
      <c r="R345" s="1371"/>
      <c r="S345" s="1371"/>
      <c r="T345" s="1371"/>
      <c r="U345" s="1371"/>
      <c r="V345" s="1371"/>
      <c r="W345" s="1371"/>
      <c r="X345" s="1371"/>
      <c r="Y345" s="1371"/>
      <c r="Z345" s="1371"/>
      <c r="AA345" s="1371"/>
      <c r="AB345" s="1371"/>
      <c r="AC345" s="1371"/>
      <c r="AD345" s="1371"/>
      <c r="AE345" s="1371"/>
    </row>
    <row r="346" spans="1:66" ht="12.9" customHeight="1">
      <c r="B346" s="4"/>
      <c r="C346" s="4"/>
      <c r="D346" s="4"/>
      <c r="E346" s="4"/>
      <c r="F346" s="4"/>
      <c r="G346" s="4"/>
      <c r="I346" s="4" t="s">
        <v>87</v>
      </c>
      <c r="P346" s="1520" t="s">
        <v>2719</v>
      </c>
      <c r="Q346" s="1371"/>
      <c r="R346" s="1371"/>
      <c r="S346" s="1371"/>
      <c r="T346" s="1371"/>
      <c r="U346" s="1371"/>
      <c r="V346" s="1371"/>
      <c r="W346" s="1371"/>
      <c r="X346" s="1371"/>
      <c r="Y346" s="1371"/>
      <c r="Z346" s="1371"/>
      <c r="AA346" s="1371"/>
      <c r="AB346" s="1371"/>
      <c r="AC346" s="1371"/>
      <c r="AD346" s="1371"/>
      <c r="AE346" s="1371"/>
    </row>
    <row r="347" spans="1:66" ht="12.9" customHeight="1">
      <c r="B347" s="4"/>
      <c r="C347" s="4"/>
      <c r="D347" s="4"/>
      <c r="E347" s="4"/>
      <c r="F347" s="4"/>
      <c r="G347" s="4"/>
      <c r="H347" s="302"/>
      <c r="I347" s="4" t="s">
        <v>88</v>
      </c>
      <c r="P347" s="1524" t="s">
        <v>2719</v>
      </c>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2.9" customHeight="1">
      <c r="B348" s="4"/>
      <c r="C348" s="4"/>
      <c r="D348" s="4"/>
      <c r="E348" s="4"/>
      <c r="F348" s="4"/>
      <c r="G348" s="4"/>
      <c r="H348" s="302"/>
      <c r="I348" s="4" t="s">
        <v>89</v>
      </c>
      <c r="P348" s="1524" t="s">
        <v>2719</v>
      </c>
      <c r="Q348" s="1487"/>
      <c r="R348" s="1487"/>
      <c r="S348" s="1487"/>
      <c r="T348" s="1487"/>
      <c r="U348" s="1487"/>
      <c r="V348" s="1487"/>
      <c r="W348" s="1487"/>
      <c r="X348" s="1487"/>
      <c r="Y348" s="1487"/>
      <c r="Z348" s="1487"/>
      <c r="AF348" s="302"/>
      <c r="AG348" s="4"/>
      <c r="AH348" s="4"/>
      <c r="AI348" s="35"/>
      <c r="AJ348" s="35"/>
      <c r="AK348" s="35"/>
    </row>
    <row r="349" spans="1:66" ht="12.9" customHeight="1">
      <c r="B349" s="4"/>
      <c r="C349" s="4"/>
      <c r="D349" s="4"/>
      <c r="E349" s="4"/>
      <c r="F349" s="4"/>
      <c r="G349" s="4"/>
      <c r="I349" s="4" t="s">
        <v>76</v>
      </c>
      <c r="P349" s="1523" t="s">
        <v>2719</v>
      </c>
      <c r="Q349" s="1407"/>
      <c r="R349" s="1407"/>
      <c r="S349" s="1407"/>
      <c r="T349" s="1407"/>
      <c r="U349" s="1407"/>
      <c r="V349" s="1407"/>
      <c r="W349" s="1407"/>
      <c r="X349" s="1407"/>
      <c r="Y349" s="1407"/>
      <c r="Z349" s="1407"/>
      <c r="AA349" s="1407"/>
      <c r="AB349" s="1407"/>
      <c r="AC349" s="1407"/>
      <c r="AD349" s="1407"/>
      <c r="AE349" s="1407"/>
    </row>
    <row r="350" spans="1:66" ht="12.9" customHeight="1">
      <c r="T350" s="8"/>
      <c r="U350" s="8"/>
      <c r="V350" s="8"/>
      <c r="W350" s="8"/>
      <c r="X350" s="8"/>
      <c r="Y350" s="8"/>
      <c r="Z350" s="8"/>
      <c r="AU350" s="95"/>
      <c r="AV350" s="95"/>
      <c r="AW350" s="95"/>
      <c r="AX350" s="95"/>
      <c r="AY350" s="95"/>
    </row>
    <row r="351" spans="1:66" ht="12.9" customHeight="1">
      <c r="A351" s="1537" t="s">
        <v>541</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781</v>
      </c>
    </row>
    <row r="355" spans="1:46" ht="12.9" customHeight="1">
      <c r="D355" s="3" t="s">
        <v>2098</v>
      </c>
      <c r="M355" s="1415" t="s">
        <v>544</v>
      </c>
      <c r="N355" s="1415"/>
      <c r="P355" t="s">
        <v>1649</v>
      </c>
      <c r="AJ355" s="1415" t="s">
        <v>544</v>
      </c>
      <c r="AK355" s="1415"/>
    </row>
    <row r="356" spans="1:46" ht="12.9" customHeight="1">
      <c r="D356" s="3" t="s">
        <v>1638</v>
      </c>
      <c r="M356" s="1415" t="s">
        <v>590</v>
      </c>
      <c r="N356" s="1415"/>
      <c r="P356" s="3" t="s">
        <v>1718</v>
      </c>
      <c r="AJ356" s="1382">
        <v>0</v>
      </c>
      <c r="AK356" s="1382"/>
    </row>
    <row r="357" spans="1:46" ht="12.9" customHeight="1">
      <c r="D357" s="3" t="s">
        <v>703</v>
      </c>
      <c r="M357" s="1415" t="s">
        <v>590</v>
      </c>
      <c r="N357" s="1415"/>
      <c r="P357" t="s">
        <v>1648</v>
      </c>
      <c r="AJ357" s="1415" t="s">
        <v>590</v>
      </c>
      <c r="AK357" s="1415"/>
    </row>
    <row r="358" spans="1:46" ht="12.9" customHeight="1">
      <c r="D358" s="3" t="s">
        <v>704</v>
      </c>
      <c r="M358" s="1415" t="s">
        <v>590</v>
      </c>
      <c r="N358" s="1415"/>
      <c r="Q358" s="4"/>
    </row>
    <row r="359" spans="1:46" ht="12.9" customHeight="1">
      <c r="Q359" s="4"/>
    </row>
    <row r="360" spans="1:46" ht="12.9" customHeight="1">
      <c r="Q360" s="4"/>
    </row>
    <row r="361" spans="1:46" ht="12.9" customHeight="1">
      <c r="A361" s="2" t="s">
        <v>575</v>
      </c>
      <c r="B361" s="2"/>
      <c r="C361" s="2" t="s">
        <v>551</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5" t="s">
        <v>590</v>
      </c>
      <c r="O363" s="1415"/>
      <c r="P363" s="40"/>
      <c r="Q363" s="40"/>
      <c r="R363" s="40"/>
      <c r="S363" s="40"/>
      <c r="T363" s="40"/>
      <c r="U363" s="40"/>
      <c r="V363" s="40"/>
      <c r="W363" s="40"/>
      <c r="X363" s="40"/>
      <c r="Y363" s="40"/>
      <c r="Z363" s="40"/>
      <c r="AC363" s="40"/>
      <c r="AD363" s="40"/>
      <c r="AE363" s="40"/>
    </row>
    <row r="364" spans="1:46" ht="12.9" customHeight="1">
      <c r="E364" t="s">
        <v>369</v>
      </c>
      <c r="Y364" s="1415" t="s">
        <v>590</v>
      </c>
      <c r="Z364" s="1415"/>
    </row>
    <row r="365" spans="1:46" ht="12.9" customHeight="1">
      <c r="D365" s="4" t="s">
        <v>977</v>
      </c>
      <c r="Q365" s="1407"/>
      <c r="R365" s="1407"/>
      <c r="S365" s="1407"/>
      <c r="T365" s="1407"/>
      <c r="U365" s="1407"/>
      <c r="V365" s="1407"/>
      <c r="W365" s="1407"/>
      <c r="X365" s="1407"/>
      <c r="Y365" s="1407"/>
      <c r="Z365" s="1407"/>
      <c r="AA365" s="1407"/>
      <c r="AB365" s="1407"/>
      <c r="AC365" s="1407"/>
      <c r="AD365" s="1407"/>
      <c r="AE365" s="1407"/>
      <c r="AF365" s="1407"/>
      <c r="AG365" s="1407"/>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5" t="s">
        <v>590</v>
      </c>
      <c r="K367" s="1415"/>
      <c r="L367" s="40"/>
      <c r="M367" s="40"/>
      <c r="N367" s="40"/>
      <c r="O367" s="40"/>
      <c r="P367" s="40"/>
      <c r="Q367" s="40"/>
      <c r="R367" s="40"/>
      <c r="S367" s="40"/>
      <c r="T367" s="40"/>
      <c r="U367" s="40"/>
      <c r="V367" s="40"/>
      <c r="W367" s="40"/>
      <c r="X367" s="40"/>
      <c r="Y367" s="40"/>
      <c r="Z367" s="40"/>
      <c r="AC367" s="40"/>
      <c r="AD367" s="40"/>
      <c r="AE367" s="40"/>
    </row>
    <row r="368" spans="1:46" ht="12.9" customHeight="1">
      <c r="E368" s="1547" t="s">
        <v>705</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2.9"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974</v>
      </c>
      <c r="E376" s="2"/>
      <c r="F376" s="4"/>
      <c r="G376" s="4"/>
      <c r="H376" s="4"/>
      <c r="I376" s="4"/>
      <c r="J376" s="4"/>
      <c r="K376" s="4"/>
      <c r="L376" s="4"/>
    </row>
    <row r="377" spans="1:34" ht="12.9" customHeight="1">
      <c r="E377" s="4" t="s">
        <v>2084</v>
      </c>
      <c r="F377" s="4"/>
      <c r="G377" s="4"/>
      <c r="H377" s="4"/>
      <c r="I377" s="4"/>
      <c r="J377" s="4"/>
      <c r="K377" s="4"/>
      <c r="L377" s="4"/>
      <c r="N377" t="s">
        <v>2079</v>
      </c>
      <c r="R377" s="27" t="s">
        <v>304</v>
      </c>
      <c r="S377" s="1443"/>
      <c r="T377" s="1443"/>
      <c r="U377" s="1" t="s">
        <v>305</v>
      </c>
      <c r="V377" s="1443"/>
      <c r="W377" s="1443"/>
      <c r="Y377" t="s">
        <v>2079</v>
      </c>
      <c r="AC377" s="27" t="s">
        <v>304</v>
      </c>
      <c r="AD377" s="1443"/>
      <c r="AE377" s="1443"/>
      <c r="AF377" s="1" t="s">
        <v>305</v>
      </c>
      <c r="AG377" s="1443"/>
      <c r="AH377" s="1443"/>
    </row>
    <row r="378" spans="1:34" ht="12.9" customHeight="1">
      <c r="E378" s="4" t="s">
        <v>986</v>
      </c>
      <c r="F378" s="4"/>
      <c r="G378" s="4"/>
      <c r="H378" s="4"/>
      <c r="I378" s="4"/>
      <c r="J378" s="4"/>
      <c r="K378" s="4"/>
      <c r="L378" s="4"/>
      <c r="N378" s="1443"/>
      <c r="O378" s="1443"/>
      <c r="P378" s="1443"/>
    </row>
    <row r="379" spans="1:34" ht="12.9" customHeight="1">
      <c r="E379" s="204" t="s">
        <v>2085</v>
      </c>
      <c r="F379" s="4"/>
      <c r="G379" s="4"/>
      <c r="H379" s="4"/>
      <c r="I379" s="4"/>
      <c r="J379" s="4"/>
      <c r="K379" s="4"/>
      <c r="L379" s="4"/>
      <c r="AG379" s="1446" t="s">
        <v>590</v>
      </c>
      <c r="AH379" s="1446"/>
    </row>
    <row r="380" spans="1:34" ht="12.9" customHeight="1">
      <c r="E380" s="4"/>
      <c r="F380" s="4"/>
      <c r="G380" s="4" t="s">
        <v>2086</v>
      </c>
      <c r="H380" s="4"/>
      <c r="I380" s="4"/>
      <c r="J380" s="4"/>
      <c r="K380" s="4"/>
      <c r="L380" s="4"/>
      <c r="AG380" s="1446" t="s">
        <v>590</v>
      </c>
      <c r="AH380" s="1446"/>
    </row>
    <row r="381" spans="1:34" ht="12.9" customHeight="1">
      <c r="E381" s="4"/>
      <c r="F381" s="4"/>
      <c r="G381" s="320" t="s">
        <v>987</v>
      </c>
      <c r="H381" s="4"/>
      <c r="I381" s="4"/>
      <c r="J381" s="4"/>
      <c r="K381" s="4"/>
      <c r="L381" s="4"/>
      <c r="V381" s="1415" t="s">
        <v>590</v>
      </c>
      <c r="W381" s="1415"/>
      <c r="Y381" s="22" t="s">
        <v>979</v>
      </c>
    </row>
    <row r="382" spans="1:34" ht="12.9" customHeight="1">
      <c r="E382" s="4" t="s">
        <v>980</v>
      </c>
      <c r="F382" s="4"/>
      <c r="G382" s="4"/>
      <c r="H382" s="4"/>
      <c r="I382" s="4"/>
      <c r="J382" s="4"/>
      <c r="K382" s="4"/>
      <c r="L382" s="4"/>
      <c r="V382" s="1415" t="s">
        <v>590</v>
      </c>
      <c r="W382" s="1415"/>
      <c r="Y382" s="4" t="s">
        <v>981</v>
      </c>
    </row>
    <row r="383" spans="1:34" ht="12.9" customHeight="1"/>
    <row r="384" spans="1:34" ht="12.9" customHeight="1">
      <c r="A384" s="2" t="s">
        <v>78</v>
      </c>
      <c r="B384" s="2"/>
    </row>
    <row r="385" spans="4:36" ht="12.9" customHeight="1">
      <c r="D385" t="s">
        <v>427</v>
      </c>
      <c r="J385" s="1407" t="s">
        <v>2657</v>
      </c>
      <c r="K385" s="1407"/>
      <c r="L385" s="1407"/>
      <c r="M385" s="1407"/>
      <c r="N385" s="1407"/>
      <c r="O385" s="1407"/>
      <c r="P385" s="1407"/>
      <c r="Q385" s="1407"/>
      <c r="R385" s="1407"/>
      <c r="S385" s="1407"/>
      <c r="T385" s="1407"/>
      <c r="U385" s="1407"/>
      <c r="V385" s="8" t="s">
        <v>83</v>
      </c>
      <c r="W385" s="8"/>
      <c r="X385" s="8"/>
      <c r="Y385" s="8"/>
      <c r="Z385" s="8"/>
      <c r="AA385" s="8"/>
      <c r="AB385" s="8"/>
      <c r="AC385" s="1407" t="s">
        <v>2658</v>
      </c>
      <c r="AD385" s="1407"/>
      <c r="AE385" s="1407"/>
      <c r="AF385" s="1407"/>
      <c r="AG385" s="1407"/>
      <c r="AH385" s="1407"/>
      <c r="AI385" s="1407"/>
      <c r="AJ385" s="1407"/>
    </row>
    <row r="386" spans="4:36" ht="12.9" customHeight="1">
      <c r="D386" s="3" t="s">
        <v>1181</v>
      </c>
      <c r="J386" s="1371" t="s">
        <v>2658</v>
      </c>
      <c r="K386" s="1371"/>
      <c r="L386" s="1371"/>
      <c r="M386" s="1371"/>
      <c r="N386" s="1371"/>
      <c r="O386" s="1371"/>
      <c r="P386" s="1371"/>
      <c r="Q386" s="1371"/>
      <c r="R386" s="1371"/>
      <c r="S386" s="1371"/>
      <c r="T386" s="1371"/>
      <c r="U386" s="1371"/>
      <c r="V386" s="3" t="s">
        <v>1181</v>
      </c>
      <c r="W386" s="8"/>
      <c r="X386" s="8"/>
      <c r="Y386" s="8"/>
      <c r="Z386" s="8"/>
      <c r="AA386" s="8"/>
      <c r="AB386" s="8"/>
      <c r="AC386" s="1407"/>
      <c r="AD386" s="1407"/>
      <c r="AE386" s="1407"/>
      <c r="AF386" s="1407"/>
      <c r="AG386" s="1407"/>
      <c r="AH386" s="1407"/>
      <c r="AI386" s="1407"/>
      <c r="AJ386" s="1407"/>
    </row>
    <row r="387" spans="4:36" ht="12.9" customHeight="1">
      <c r="D387" s="3" t="s">
        <v>440</v>
      </c>
      <c r="J387" s="1371" t="s">
        <v>2711</v>
      </c>
      <c r="K387" s="1371"/>
      <c r="L387" s="1371"/>
      <c r="M387" s="1371"/>
      <c r="N387" s="1371"/>
      <c r="O387" s="1371"/>
      <c r="P387" s="1371"/>
      <c r="Q387" s="1371"/>
      <c r="R387" s="1371"/>
      <c r="S387" s="1371"/>
      <c r="T387" s="1371"/>
      <c r="U387" s="1371"/>
      <c r="V387" s="3" t="s">
        <v>440</v>
      </c>
      <c r="W387" s="8"/>
      <c r="X387" s="8"/>
      <c r="Y387" s="8"/>
      <c r="Z387" s="8"/>
      <c r="AA387" s="8"/>
      <c r="AB387" s="8"/>
      <c r="AC387" s="1407"/>
      <c r="AD387" s="1407"/>
      <c r="AE387" s="1407"/>
      <c r="AF387" s="1407"/>
      <c r="AG387" s="1407"/>
      <c r="AH387" s="1407"/>
      <c r="AI387" s="1407"/>
      <c r="AJ387" s="1407"/>
    </row>
    <row r="388" spans="4:36" ht="12.9" customHeight="1">
      <c r="D388" t="s">
        <v>1177</v>
      </c>
      <c r="J388" s="1427" t="s">
        <v>2659</v>
      </c>
      <c r="K388" s="1427"/>
      <c r="L388" s="1427"/>
      <c r="M388" s="1427"/>
      <c r="N388" s="1427"/>
      <c r="O388" s="1427"/>
      <c r="P388" s="1427"/>
      <c r="Q388" s="1427"/>
      <c r="R388" s="1427"/>
      <c r="S388" s="1427"/>
      <c r="T388" s="1427"/>
      <c r="U388" s="1427"/>
      <c r="V388" s="1407">
        <v>95065</v>
      </c>
      <c r="W388" s="1407"/>
      <c r="X388" s="1407"/>
      <c r="Y388" s="1407"/>
      <c r="Z388" s="1407"/>
      <c r="AA388" s="1407"/>
      <c r="AB388" s="1407"/>
      <c r="AC388" s="1407"/>
      <c r="AD388" s="1407"/>
      <c r="AE388" s="1407"/>
      <c r="AF388" s="1407"/>
      <c r="AG388" s="1407"/>
      <c r="AH388" s="1407"/>
      <c r="AI388" s="1407"/>
      <c r="AJ388" s="1407"/>
    </row>
    <row r="389" spans="4:36" ht="12.9" customHeight="1">
      <c r="D389" t="s">
        <v>4</v>
      </c>
      <c r="Q389" s="1592">
        <v>45476</v>
      </c>
      <c r="R389" s="1592"/>
      <c r="S389" s="1592"/>
      <c r="T389" s="1592"/>
      <c r="U389" s="1592"/>
      <c r="V389" t="s">
        <v>308</v>
      </c>
      <c r="AI389" s="1415" t="s">
        <v>668</v>
      </c>
      <c r="AJ389" s="1415"/>
    </row>
    <row r="390" spans="4:36" ht="12.9" customHeight="1">
      <c r="D390" t="s">
        <v>5</v>
      </c>
      <c r="Q390" s="1521">
        <v>46022</v>
      </c>
      <c r="R390" s="1522"/>
      <c r="S390" s="1522"/>
      <c r="T390" s="1522"/>
      <c r="U390" s="1522"/>
      <c r="W390" s="21" t="s">
        <v>74</v>
      </c>
      <c r="AG390" s="1448"/>
      <c r="AH390" s="1448"/>
      <c r="AI390" s="1448"/>
      <c r="AJ390" s="1448"/>
    </row>
    <row r="391" spans="4:36" ht="12.9" customHeight="1">
      <c r="D391" t="s">
        <v>426</v>
      </c>
      <c r="Q391" s="1449">
        <v>7400000</v>
      </c>
      <c r="R391" s="1449"/>
      <c r="S391" s="1449"/>
      <c r="T391" s="1449"/>
      <c r="U391" s="1449"/>
      <c r="V391" s="3" t="s">
        <v>1180</v>
      </c>
      <c r="AG391" s="1518"/>
      <c r="AH391" s="1518"/>
      <c r="AI391" s="1518"/>
      <c r="AJ391" s="1518"/>
    </row>
    <row r="392" spans="4:36" ht="12.9" customHeight="1">
      <c r="D392" t="s">
        <v>88</v>
      </c>
      <c r="I392" s="1545"/>
      <c r="J392" s="1545"/>
      <c r="K392" s="1545"/>
      <c r="L392" s="1545"/>
      <c r="M392" s="1545"/>
      <c r="N392" s="1545"/>
      <c r="Q392" s="4" t="s">
        <v>205</v>
      </c>
      <c r="S392" s="1447"/>
      <c r="T392" s="1447"/>
      <c r="U392" s="1447"/>
      <c r="V392" t="s">
        <v>73</v>
      </c>
      <c r="AI392" s="1415" t="s">
        <v>668</v>
      </c>
      <c r="AJ392" s="1415"/>
    </row>
    <row r="393" spans="4:36" ht="12.9" customHeight="1">
      <c r="D393" t="s">
        <v>309</v>
      </c>
      <c r="Q393" s="1526"/>
      <c r="R393" s="1526"/>
      <c r="S393" s="1526"/>
      <c r="T393" s="1526"/>
      <c r="U393" s="1526"/>
      <c r="V393" t="s">
        <v>310</v>
      </c>
      <c r="AG393" s="1448">
        <v>0</v>
      </c>
      <c r="AH393" s="1448"/>
      <c r="AI393" s="1448"/>
      <c r="AJ393" s="1448"/>
    </row>
    <row r="394" spans="4:36" ht="12.9" customHeight="1">
      <c r="D394" t="s">
        <v>311</v>
      </c>
      <c r="Q394" s="1581"/>
      <c r="R394" s="1581"/>
      <c r="S394" s="1581"/>
      <c r="T394" s="1581"/>
      <c r="U394" s="1581"/>
      <c r="V394" t="s">
        <v>1162</v>
      </c>
      <c r="AG394" s="1448">
        <v>0</v>
      </c>
      <c r="AH394" s="1448"/>
      <c r="AI394" s="1448"/>
      <c r="AJ394" s="1448"/>
    </row>
    <row r="395" spans="4:36" ht="12.9" customHeight="1">
      <c r="D395" t="s">
        <v>1161</v>
      </c>
      <c r="AG395" s="1448">
        <v>0</v>
      </c>
      <c r="AH395" s="1448"/>
      <c r="AI395" s="1448"/>
      <c r="AJ395" s="1448"/>
    </row>
    <row r="396" spans="4:36" ht="12.9" customHeight="1">
      <c r="AG396" s="456"/>
      <c r="AH396" s="456"/>
      <c r="AI396" s="456"/>
      <c r="AJ396" s="456"/>
    </row>
    <row r="397" spans="4:36" ht="12.9" customHeight="1">
      <c r="D397" s="3" t="s">
        <v>2142</v>
      </c>
      <c r="AG397" s="456"/>
      <c r="AH397" s="456"/>
      <c r="AI397" s="1415" t="s">
        <v>668</v>
      </c>
      <c r="AJ397" s="1415"/>
    </row>
    <row r="398" spans="4:36" ht="12.9" customHeight="1">
      <c r="D398" s="3" t="s">
        <v>1666</v>
      </c>
      <c r="T398" s="1433" t="s">
        <v>2719</v>
      </c>
      <c r="U398" s="1434"/>
      <c r="V398" s="1434"/>
      <c r="W398" s="1434"/>
      <c r="X398" s="1434"/>
      <c r="Y398" s="1434"/>
      <c r="Z398" s="1434"/>
      <c r="AA398" s="1434"/>
      <c r="AB398" s="1434"/>
      <c r="AC398" s="1434"/>
      <c r="AD398" s="1434"/>
      <c r="AE398" s="1434"/>
      <c r="AF398" s="1434"/>
      <c r="AG398" s="1434"/>
      <c r="AH398" s="1434"/>
      <c r="AI398" s="1434"/>
      <c r="AJ398" s="1434"/>
    </row>
    <row r="399" spans="4:36" ht="12.9" customHeight="1">
      <c r="D399" s="3" t="s">
        <v>1665</v>
      </c>
      <c r="T399" s="1433" t="s">
        <v>2719</v>
      </c>
      <c r="U399" s="1434"/>
      <c r="V399" s="1434"/>
      <c r="W399" s="1434"/>
      <c r="X399" s="1434"/>
      <c r="Y399" s="1434"/>
      <c r="Z399" s="1434"/>
      <c r="AA399" s="1434"/>
      <c r="AB399" s="1434"/>
      <c r="AC399" s="1434"/>
      <c r="AD399" s="1434"/>
      <c r="AE399" s="1434"/>
      <c r="AF399" s="1434"/>
      <c r="AG399" s="1434"/>
      <c r="AH399" s="1434"/>
      <c r="AI399" s="1434"/>
      <c r="AJ399" s="1434"/>
    </row>
    <row r="400" spans="4:36" ht="12.9" customHeight="1">
      <c r="AG400" s="456"/>
      <c r="AH400" s="456"/>
      <c r="AI400" s="456"/>
      <c r="AJ400" s="456"/>
    </row>
    <row r="401" spans="1:36" ht="12.9" customHeight="1">
      <c r="D401" s="3" t="s">
        <v>1659</v>
      </c>
      <c r="S401" s="1434" t="s">
        <v>668</v>
      </c>
      <c r="T401" s="1434"/>
      <c r="U401" s="1434"/>
      <c r="V401" t="s">
        <v>1660</v>
      </c>
      <c r="AG401" s="1525"/>
      <c r="AH401" s="1525"/>
      <c r="AI401" s="1525"/>
      <c r="AJ401" s="1525"/>
    </row>
    <row r="402" spans="1:36" ht="12.9" customHeight="1">
      <c r="D402" s="3" t="s">
        <v>1657</v>
      </c>
      <c r="S402" s="1434" t="s">
        <v>590</v>
      </c>
      <c r="T402" s="1434"/>
      <c r="U402" s="1434"/>
      <c r="V402" t="s">
        <v>1662</v>
      </c>
      <c r="AE402" s="1517"/>
      <c r="AF402" s="1517"/>
      <c r="AG402" s="1517"/>
      <c r="AH402" s="1517"/>
      <c r="AI402" s="1517"/>
      <c r="AJ402" s="1517"/>
    </row>
    <row r="403" spans="1:36" ht="12.9" customHeight="1">
      <c r="D403" s="3" t="s">
        <v>1658</v>
      </c>
      <c r="K403" s="1519" t="s">
        <v>2719</v>
      </c>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 customHeight="1">
      <c r="D404" s="3" t="s">
        <v>1661</v>
      </c>
      <c r="K404" s="1519" t="s">
        <v>2719</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 customHeight="1">
      <c r="D405" s="3" t="s">
        <v>1664</v>
      </c>
      <c r="E405" s="477"/>
      <c r="F405" s="477"/>
      <c r="G405" s="477"/>
      <c r="H405" s="477"/>
      <c r="I405" s="477"/>
      <c r="J405" s="477"/>
      <c r="K405" s="477"/>
      <c r="L405" s="477"/>
      <c r="M405" s="477"/>
      <c r="N405" s="477"/>
      <c r="O405" s="477"/>
      <c r="P405" s="477"/>
      <c r="Q405" s="477"/>
      <c r="R405" s="477"/>
      <c r="S405" s="1445" t="s">
        <v>1183</v>
      </c>
      <c r="T405" s="1445"/>
      <c r="U405" s="1445"/>
      <c r="V405" s="1445"/>
      <c r="W405" s="1445"/>
      <c r="X405" s="1445"/>
      <c r="Y405" s="1445"/>
      <c r="Z405" s="1445"/>
      <c r="AA405" s="1445"/>
      <c r="AB405" s="1445"/>
      <c r="AC405" s="1445"/>
      <c r="AD405" s="1445"/>
      <c r="AE405" s="1445"/>
      <c r="AF405" s="1445"/>
      <c r="AG405" s="1445"/>
      <c r="AH405" s="1445"/>
      <c r="AI405" s="1445"/>
      <c r="AJ405" s="1445"/>
    </row>
    <row r="406" spans="1:36" ht="12.9"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6"/>
      <c r="AH408" s="456"/>
      <c r="AI408" s="456"/>
      <c r="AJ408" s="456"/>
    </row>
    <row r="409" spans="1:36" ht="12.9" customHeight="1">
      <c r="A409" s="2" t="s">
        <v>588</v>
      </c>
      <c r="B409" s="2"/>
      <c r="C409" s="2" t="s">
        <v>111</v>
      </c>
    </row>
    <row r="410" spans="1:36" ht="12.9" customHeight="1">
      <c r="B410" s="2"/>
      <c r="C410" s="2"/>
      <c r="D410" s="2" t="s">
        <v>1203</v>
      </c>
      <c r="I410" s="1523" t="s">
        <v>2660</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 customHeight="1">
      <c r="E411" t="s">
        <v>106</v>
      </c>
      <c r="R411" s="1415" t="s">
        <v>544</v>
      </c>
      <c r="S411" s="1415"/>
      <c r="AC411" s="27" t="s">
        <v>569</v>
      </c>
      <c r="AD411" s="1390">
        <v>5</v>
      </c>
      <c r="AE411" s="1390"/>
    </row>
    <row r="412" spans="1:36" ht="12.9" customHeight="1">
      <c r="E412" t="s">
        <v>107</v>
      </c>
      <c r="R412" s="1415" t="s">
        <v>590</v>
      </c>
      <c r="S412" s="1415"/>
      <c r="AC412" s="27" t="s">
        <v>569</v>
      </c>
      <c r="AD412" s="1390"/>
      <c r="AE412" s="1390"/>
    </row>
    <row r="413" spans="1:36" ht="12.9" customHeight="1">
      <c r="E413" t="s">
        <v>108</v>
      </c>
      <c r="S413" s="1415" t="s">
        <v>590</v>
      </c>
      <c r="T413" s="1415"/>
    </row>
    <row r="414" spans="1:36" ht="12.9" customHeight="1">
      <c r="E414" t="s">
        <v>169</v>
      </c>
      <c r="H414" s="1582" t="s">
        <v>2693</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 customHeight="1"/>
    <row r="417" spans="1:39" ht="12.9" customHeight="1">
      <c r="A417" s="2" t="s">
        <v>589</v>
      </c>
      <c r="B417" s="2"/>
      <c r="C417" s="2"/>
      <c r="D417" s="2" t="s">
        <v>114</v>
      </c>
      <c r="AF417" s="2" t="s">
        <v>956</v>
      </c>
    </row>
    <row r="418" spans="1:39" ht="12.9" customHeight="1">
      <c r="E418" s="1443"/>
      <c r="F418" s="1443"/>
      <c r="G418" s="1443"/>
      <c r="H418" s="13" t="s">
        <v>115</v>
      </c>
      <c r="I418" s="1443"/>
      <c r="J418" s="1443"/>
      <c r="K418" s="1443"/>
      <c r="L418" t="s">
        <v>116</v>
      </c>
      <c r="N418" s="27" t="s">
        <v>574</v>
      </c>
      <c r="P418" s="1585">
        <v>0.76088</v>
      </c>
      <c r="Q418" s="1585"/>
      <c r="R418" s="1585"/>
      <c r="S418" t="s">
        <v>117</v>
      </c>
      <c r="W418" s="1444">
        <f>IF(E418&gt;0,(E418*I418),(P418*43560))</f>
        <v>33143.932800000002</v>
      </c>
      <c r="X418" s="1444"/>
      <c r="Y418" s="1444"/>
      <c r="Z418" t="s">
        <v>118</v>
      </c>
      <c r="AF418" s="1586">
        <f>IFERROR(IF(P418&gt;0,(AG437/P418),(AG437/(W418/43560))),0)</f>
        <v>118.28409210387971</v>
      </c>
      <c r="AG418" s="1586"/>
      <c r="AH418" s="1586"/>
      <c r="AM418" s="3"/>
    </row>
    <row r="419" spans="1:39" ht="12.9" customHeight="1">
      <c r="E419" t="s">
        <v>51</v>
      </c>
    </row>
    <row r="420" spans="1:39" ht="12.9"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 customHeight="1">
      <c r="E421" s="118" t="s">
        <v>1735</v>
      </c>
      <c r="F421" s="1013"/>
      <c r="G421" s="1013"/>
      <c r="H421" s="1013"/>
      <c r="I421" s="1584">
        <v>0.75</v>
      </c>
      <c r="J421" s="1584"/>
      <c r="K421" s="1584"/>
      <c r="L421" s="1013"/>
      <c r="M421" s="118"/>
      <c r="N421" s="1013"/>
      <c r="O421" s="1013"/>
      <c r="P421" s="1837">
        <f>(DU755+DU778+DU800)/I421</f>
        <v>253.33333333333334</v>
      </c>
      <c r="Q421" s="1837"/>
      <c r="R421" s="1837"/>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591</v>
      </c>
      <c r="B423" s="2"/>
      <c r="C423" s="2"/>
      <c r="D423" s="2" t="s">
        <v>120</v>
      </c>
    </row>
    <row r="424" spans="1:39" ht="12.9" customHeight="1">
      <c r="E424" t="s">
        <v>121</v>
      </c>
      <c r="P424" s="1415">
        <v>1</v>
      </c>
      <c r="Q424" s="1415"/>
      <c r="S424" t="s">
        <v>188</v>
      </c>
      <c r="AE424" s="1415">
        <v>1</v>
      </c>
      <c r="AF424" s="1415"/>
    </row>
    <row r="425" spans="1:39" ht="12.9" customHeight="1">
      <c r="E425" t="s">
        <v>189</v>
      </c>
      <c r="P425" s="1415">
        <v>0</v>
      </c>
      <c r="Q425" s="1415"/>
      <c r="S425" t="s">
        <v>131</v>
      </c>
      <c r="AE425" s="1415" t="s">
        <v>590</v>
      </c>
      <c r="AF425" s="1415"/>
    </row>
    <row r="426" spans="1:39" ht="12.9" customHeight="1">
      <c r="F426" s="28" t="s">
        <v>132</v>
      </c>
    </row>
    <row r="427" spans="1:39" ht="12.9" customHeight="1">
      <c r="F427" s="1530" t="s">
        <v>2719</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607</v>
      </c>
      <c r="P429" s="1"/>
      <c r="Q429" s="1415" t="s">
        <v>544</v>
      </c>
      <c r="R429" s="1415"/>
    </row>
    <row r="430" spans="1:39" ht="12.9" customHeight="1">
      <c r="F430" t="s">
        <v>608</v>
      </c>
      <c r="P430" s="1"/>
      <c r="Q430" s="1"/>
      <c r="AF430" s="1415" t="s">
        <v>590</v>
      </c>
      <c r="AG430" s="1505"/>
    </row>
    <row r="431" spans="1:39" ht="12.9" customHeight="1"/>
    <row r="432" spans="1:39" ht="12.9" customHeight="1">
      <c r="A432" s="2"/>
      <c r="B432" s="2"/>
      <c r="C432" s="2"/>
      <c r="E432" s="4" t="s">
        <v>307</v>
      </c>
      <c r="Z432" s="1415" t="s">
        <v>668</v>
      </c>
      <c r="AA432" s="1415"/>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706</v>
      </c>
      <c r="G434" s="40"/>
      <c r="I434" s="40"/>
      <c r="J434" s="40"/>
      <c r="K434" s="40"/>
      <c r="L434" s="40"/>
      <c r="M434" s="40"/>
      <c r="N434" s="40"/>
      <c r="O434" s="28"/>
      <c r="P434" s="40"/>
      <c r="Q434" s="40"/>
      <c r="R434" s="40"/>
      <c r="S434" s="40"/>
      <c r="T434" s="40"/>
      <c r="U434" s="40"/>
      <c r="V434" s="40"/>
      <c r="W434" s="40"/>
      <c r="Z434" s="1415" t="s">
        <v>590</v>
      </c>
      <c r="AA434" s="1415"/>
    </row>
    <row r="435" spans="1:55" ht="12.9" customHeight="1"/>
    <row r="436" spans="1:55" ht="12.9" customHeight="1">
      <c r="A436" s="2" t="s">
        <v>466</v>
      </c>
      <c r="B436" s="2"/>
      <c r="C436" s="2"/>
      <c r="D436" s="2" t="s">
        <v>763</v>
      </c>
      <c r="AF436" s="48"/>
    </row>
    <row r="437" spans="1:55" ht="12.9"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90</v>
      </c>
      <c r="AH437" s="1385"/>
      <c r="AI437" s="1385"/>
      <c r="AJ437" s="1385"/>
    </row>
    <row r="438" spans="1:55" ht="12.9" customHeight="1">
      <c r="D438" s="1418" t="s">
        <v>1221</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 customHeight="1">
      <c r="D439" s="1418" t="s">
        <v>1030</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89</v>
      </c>
      <c r="AH439" s="1385"/>
      <c r="AI439" s="1385"/>
      <c r="AJ439" s="1385"/>
    </row>
    <row r="440" spans="1:55" ht="12.9" customHeight="1">
      <c r="D440" s="1418" t="s">
        <v>1031</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89</v>
      </c>
      <c r="AH440" s="1385"/>
      <c r="AI440" s="1385"/>
      <c r="AJ440" s="1385"/>
    </row>
    <row r="441" spans="1:55" ht="12.9" customHeight="1">
      <c r="D441" s="1418" t="s">
        <v>1033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 customHeight="1">
      <c r="D442" s="1418" t="s">
        <v>1032</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73454</v>
      </c>
      <c r="AH442" s="1416"/>
      <c r="AI442" s="1416"/>
      <c r="AJ442" s="1416"/>
    </row>
    <row r="443" spans="1:55" ht="12.9" customHeight="1">
      <c r="D443" s="1418" t="s">
        <v>1034</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73454</v>
      </c>
      <c r="AH443" s="1416"/>
      <c r="AI443" s="1416"/>
      <c r="AJ443" s="1416"/>
    </row>
    <row r="444" spans="1:55" ht="12.9" customHeight="1">
      <c r="D444" s="1418" t="s">
        <v>1035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 customHeight="1">
      <c r="D445" s="1418" t="s">
        <v>1036</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7990</v>
      </c>
      <c r="AH446" s="1416"/>
      <c r="AI446" s="1416"/>
      <c r="AJ446" s="1416"/>
      <c r="AZ446" s="34"/>
      <c r="BA446" s="34"/>
      <c r="BB446" s="34"/>
      <c r="BC446" s="34"/>
    </row>
    <row r="447" spans="1:55" ht="12.9" customHeight="1">
      <c r="D447" s="1504" t="s">
        <v>568</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 customHeight="1">
      <c r="D448" s="1418" t="s">
        <v>1204</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6665</v>
      </c>
      <c r="AH448" s="1416"/>
      <c r="AI448" s="1416"/>
      <c r="AJ448" s="1416"/>
      <c r="AZ448" s="3"/>
      <c r="BA448" s="3"/>
      <c r="BB448" s="3"/>
      <c r="BC448" s="3"/>
    </row>
    <row r="449" spans="1:55" ht="12.9" customHeight="1">
      <c r="D449" s="1418" t="s">
        <v>1037</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 customHeight="1">
      <c r="D450" s="1578" t="s">
        <v>1038</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88109</v>
      </c>
      <c r="AH450" s="1429"/>
      <c r="AI450" s="1429"/>
      <c r="AJ450" s="1429"/>
      <c r="AZ450" s="3"/>
      <c r="BA450" s="3"/>
      <c r="BB450" s="3"/>
      <c r="BC450" s="3"/>
    </row>
    <row r="451" spans="1:55" ht="12.9" customHeight="1">
      <c r="D451" s="1588" t="s">
        <v>1205</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1054134.0333333334</v>
      </c>
      <c r="AD454" s="1373"/>
      <c r="AE454" s="1373"/>
      <c r="AF454" s="1373"/>
      <c r="AG454" s="177"/>
      <c r="AH454" s="177"/>
      <c r="AI454" s="177"/>
      <c r="AJ454" s="183"/>
      <c r="AZ454" s="3"/>
      <c r="BA454" s="3" t="str">
        <f>AG575</f>
        <v>Yes</v>
      </c>
      <c r="BB454" s="3"/>
      <c r="BC454" s="3"/>
    </row>
    <row r="455" spans="1:55" ht="12.9"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1054134.0333333334</v>
      </c>
      <c r="AD455" s="1373"/>
      <c r="AE455" s="1373"/>
      <c r="AF455" s="1373"/>
      <c r="AG455" s="177"/>
      <c r="AH455" s="177"/>
      <c r="AI455" s="177"/>
      <c r="AJ455" s="183"/>
      <c r="AZ455" s="3"/>
      <c r="BA455" s="3"/>
      <c r="BB455" s="3"/>
      <c r="BC455" s="3"/>
    </row>
    <row r="456" spans="1:55" ht="12.9"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904037.66666666663</v>
      </c>
      <c r="AD456" s="1373"/>
      <c r="AE456" s="1373"/>
      <c r="AF456" s="1373"/>
      <c r="AG456" s="177"/>
      <c r="AH456" s="177"/>
      <c r="AI456" s="177"/>
      <c r="AJ456" s="183"/>
      <c r="AZ456" s="3"/>
      <c r="BA456" s="3"/>
      <c r="BB456" s="3"/>
      <c r="BC456" s="3"/>
    </row>
    <row r="457" spans="1:55" ht="12.9"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23</v>
      </c>
      <c r="X465" s="1392"/>
      <c r="Y465" s="1393"/>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5" t="s">
        <v>692</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5" t="s">
        <v>693</v>
      </c>
      <c r="E467" s="1376"/>
      <c r="F467" s="1376"/>
      <c r="G467" s="1376"/>
      <c r="H467" s="1376"/>
      <c r="I467" s="1376"/>
      <c r="J467" s="1376"/>
      <c r="K467" s="1376"/>
      <c r="L467" s="1376"/>
      <c r="M467" s="1376"/>
      <c r="N467" s="1376"/>
      <c r="O467" s="1376"/>
      <c r="P467" s="1376"/>
      <c r="Q467" s="1376"/>
      <c r="R467" s="1376"/>
      <c r="S467" s="1376"/>
      <c r="T467" s="1376"/>
      <c r="U467" s="1376"/>
      <c r="V467" s="1377"/>
      <c r="W467" s="1391">
        <v>9</v>
      </c>
      <c r="X467" s="1392"/>
      <c r="Y467" s="1393"/>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5" t="s">
        <v>694</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5" t="s">
        <v>880</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5" t="s">
        <v>695</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23</v>
      </c>
      <c r="X472" s="1392"/>
      <c r="Y472" s="1393"/>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4" t="s">
        <v>1653</v>
      </c>
      <c r="E473" s="1376"/>
      <c r="F473" s="1376"/>
      <c r="G473" s="1376"/>
      <c r="H473" s="1376"/>
      <c r="I473" s="1376"/>
      <c r="J473" s="1376"/>
      <c r="K473" s="1376"/>
      <c r="L473" s="1376"/>
      <c r="M473" s="1376"/>
      <c r="N473" s="1376"/>
      <c r="O473" s="1376"/>
      <c r="P473" s="1376"/>
      <c r="Q473" s="1376"/>
      <c r="R473" s="1376"/>
      <c r="S473" s="1376"/>
      <c r="T473" s="1376"/>
      <c r="U473" s="1376"/>
      <c r="V473" s="1377"/>
      <c r="W473" s="1391">
        <f>14+9</f>
        <v>23</v>
      </c>
      <c r="X473" s="1392"/>
      <c r="Y473" s="1393"/>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169</v>
      </c>
      <c r="E474" s="244"/>
      <c r="F474" s="245"/>
      <c r="G474" s="1674"/>
      <c r="H474" s="1675"/>
      <c r="I474" s="1675"/>
      <c r="J474" s="1675"/>
      <c r="K474" s="1675"/>
      <c r="L474" s="1675"/>
      <c r="M474" s="1675"/>
      <c r="N474" s="1675"/>
      <c r="O474" s="1675"/>
      <c r="P474" s="1675"/>
      <c r="Q474" s="1675"/>
      <c r="R474" s="1675"/>
      <c r="S474" s="1675"/>
      <c r="T474" s="1675"/>
      <c r="U474" s="1675"/>
      <c r="V474" s="1676"/>
      <c r="W474" s="1391">
        <v>0</v>
      </c>
      <c r="X474" s="1392"/>
      <c r="Y474" s="1393"/>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t="s">
        <v>2716</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t="s">
        <v>2717</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809</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807</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 customHeight="1">
      <c r="B486" s="45" t="s">
        <v>393</v>
      </c>
      <c r="C486" s="5"/>
      <c r="D486" s="5"/>
      <c r="E486" s="5"/>
      <c r="F486" s="5"/>
      <c r="G486" s="5"/>
      <c r="H486" s="5"/>
      <c r="I486" s="5"/>
      <c r="J486" s="5"/>
      <c r="K486" s="5"/>
      <c r="L486" s="5"/>
      <c r="M486" s="5"/>
      <c r="N486" s="5"/>
      <c r="O486" s="5"/>
      <c r="P486" s="5"/>
      <c r="Q486" s="1370" t="s">
        <v>2712</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 customHeight="1">
      <c r="B487" s="45" t="s">
        <v>394</v>
      </c>
      <c r="C487" s="5"/>
      <c r="D487" s="5"/>
      <c r="E487" s="5"/>
      <c r="F487" s="5"/>
      <c r="G487" s="5"/>
      <c r="H487" s="5"/>
      <c r="I487" s="5"/>
      <c r="J487" s="5"/>
      <c r="K487" s="5"/>
      <c r="L487" s="5"/>
      <c r="M487" s="5"/>
      <c r="N487" s="5"/>
      <c r="O487" s="5"/>
      <c r="P487" s="5"/>
      <c r="Q487" s="1370" t="s">
        <v>2661</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 customHeight="1">
      <c r="B488" s="45" t="s">
        <v>395</v>
      </c>
      <c r="C488" s="5"/>
      <c r="D488" s="5"/>
      <c r="E488" s="5"/>
      <c r="F488" s="5"/>
      <c r="G488" s="5"/>
      <c r="H488" s="5"/>
      <c r="I488" s="5"/>
      <c r="J488" s="5"/>
      <c r="K488" s="5"/>
      <c r="L488" s="5"/>
      <c r="M488" s="5"/>
      <c r="N488" s="5"/>
      <c r="O488" s="5"/>
      <c r="P488" s="5"/>
      <c r="Q488" s="1370" t="s">
        <v>2661</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 customHeight="1">
      <c r="B489" s="1453" t="s">
        <v>396</v>
      </c>
      <c r="C489" s="1454"/>
      <c r="D489" s="1454"/>
      <c r="E489" s="1454"/>
      <c r="F489" s="1454"/>
      <c r="G489" s="1454"/>
      <c r="H489" s="1454"/>
      <c r="I489" s="1454"/>
      <c r="J489" s="1454"/>
      <c r="K489" s="1454"/>
      <c r="L489" s="1454"/>
      <c r="M489" s="1454"/>
      <c r="N489" s="1454"/>
      <c r="O489" s="1454"/>
      <c r="P489" s="1455"/>
      <c r="Q489" s="1459" t="s">
        <v>544</v>
      </c>
      <c r="R489" s="1460"/>
      <c r="S489" s="1571" t="s">
        <v>2736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 customHeight="1">
      <c r="B490" s="1456"/>
      <c r="C490" s="1457"/>
      <c r="D490" s="1457"/>
      <c r="E490" s="1457"/>
      <c r="F490" s="1457"/>
      <c r="G490" s="1457"/>
      <c r="H490" s="1457"/>
      <c r="I490" s="1457"/>
      <c r="J490" s="1457"/>
      <c r="K490" s="1457"/>
      <c r="L490" s="1457"/>
      <c r="M490" s="1457"/>
      <c r="N490" s="1457"/>
      <c r="O490" s="1457"/>
      <c r="P490" s="1458"/>
      <c r="Q490" s="1461"/>
      <c r="R490" s="1462"/>
      <c r="S490" s="1574"/>
      <c r="T490" s="1532"/>
      <c r="U490" s="1532"/>
      <c r="V490" s="1532"/>
      <c r="W490" s="1532"/>
      <c r="X490" s="1532"/>
      <c r="Y490" s="1532"/>
      <c r="Z490" s="1532"/>
      <c r="AA490" s="1532"/>
      <c r="AB490" s="1532"/>
      <c r="AC490" s="1532"/>
      <c r="AD490" s="1532"/>
      <c r="AE490" s="1532"/>
      <c r="AF490" s="1532"/>
      <c r="AG490" s="1532"/>
      <c r="AH490" s="1532"/>
      <c r="AI490" s="1532"/>
      <c r="AJ490" s="1532"/>
      <c r="AK490" s="1575"/>
      <c r="AZ490" s="3"/>
      <c r="BA490" s="3"/>
      <c r="BB490" s="3"/>
      <c r="BC490" s="3"/>
    </row>
    <row r="491" spans="1:55" ht="12.9" customHeight="1">
      <c r="B491" s="895" t="s">
        <v>1670</v>
      </c>
      <c r="C491" s="873"/>
      <c r="D491" s="873"/>
      <c r="E491" s="873"/>
      <c r="F491" s="873"/>
      <c r="G491" s="873"/>
      <c r="H491" s="873"/>
      <c r="I491" s="873"/>
      <c r="J491" s="873"/>
      <c r="K491" s="873"/>
      <c r="L491" s="873"/>
      <c r="M491" s="873"/>
      <c r="N491" s="873"/>
      <c r="O491" s="873"/>
      <c r="P491" s="873"/>
      <c r="Q491" s="1378" t="s">
        <v>668</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 customHeight="1">
      <c r="B492" s="45" t="s">
        <v>397</v>
      </c>
      <c r="C492" s="5"/>
      <c r="D492" s="5"/>
      <c r="E492" s="5"/>
      <c r="F492" s="5"/>
      <c r="G492" s="5"/>
      <c r="H492" s="5"/>
      <c r="I492" s="5"/>
      <c r="J492" s="5"/>
      <c r="K492" s="5"/>
      <c r="L492" s="5"/>
      <c r="M492" s="5"/>
      <c r="N492" s="5"/>
      <c r="O492" s="5"/>
      <c r="P492" s="5"/>
      <c r="Q492" s="1370" t="s">
        <v>2713</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25.5" customHeight="1">
      <c r="B493" s="45" t="s">
        <v>398</v>
      </c>
      <c r="C493" s="5"/>
      <c r="D493" s="5"/>
      <c r="E493" s="5"/>
      <c r="F493" s="5"/>
      <c r="G493" s="5"/>
      <c r="H493" s="5"/>
      <c r="I493" s="5"/>
      <c r="J493" s="5"/>
      <c r="K493" s="5"/>
      <c r="L493" s="5"/>
      <c r="M493" s="5"/>
      <c r="N493" s="5"/>
      <c r="O493" s="5"/>
      <c r="P493" s="5"/>
      <c r="Q493" s="1587" t="s">
        <v>2715</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 customHeight="1">
      <c r="B494" s="121" t="s">
        <v>1667</v>
      </c>
      <c r="C494" s="5"/>
      <c r="D494" s="5"/>
      <c r="E494" s="5"/>
      <c r="F494" s="5"/>
      <c r="G494" s="5"/>
      <c r="H494" s="5"/>
      <c r="I494" s="5"/>
      <c r="J494" s="5"/>
      <c r="K494" s="5"/>
      <c r="L494" s="5"/>
      <c r="M494" s="5"/>
      <c r="N494" s="5"/>
      <c r="O494" s="5"/>
      <c r="P494" s="5"/>
      <c r="Q494" s="1370">
        <v>34</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 customHeight="1">
      <c r="B495" s="121" t="s">
        <v>1668</v>
      </c>
      <c r="C495" s="5"/>
      <c r="D495" s="5"/>
      <c r="E495" s="5"/>
      <c r="F495" s="5"/>
      <c r="G495" s="5"/>
      <c r="H495" s="5"/>
      <c r="I495" s="5"/>
      <c r="J495" s="5"/>
      <c r="K495" s="5"/>
      <c r="L495" s="5"/>
      <c r="M495" s="1381">
        <v>34</v>
      </c>
      <c r="N495" s="1382"/>
      <c r="O495" s="1382"/>
      <c r="P495" s="1383"/>
      <c r="Q495" s="121" t="s">
        <v>1669</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t="s">
        <v>590</v>
      </c>
      <c r="AD501" s="1390"/>
      <c r="AE501" s="1390"/>
      <c r="AF501" s="1390"/>
      <c r="AG501" s="13" t="s">
        <v>402</v>
      </c>
      <c r="AH501" s="1427">
        <v>0</v>
      </c>
      <c r="AI501" s="1427"/>
      <c r="AJ501" s="1427"/>
      <c r="AK501" s="1428"/>
      <c r="AZ501" s="3"/>
      <c r="BA501" s="3"/>
      <c r="BB501" s="3"/>
      <c r="BC501" s="3"/>
      <c r="BD501" s="3"/>
      <c r="BE501" s="3"/>
      <c r="BF501" s="3"/>
      <c r="BG501" s="3"/>
      <c r="BH501" s="3"/>
      <c r="BI501" s="3"/>
      <c r="BJ501" s="3"/>
      <c r="BK501" s="3"/>
      <c r="BL501" s="3"/>
      <c r="BM501" s="3"/>
      <c r="BN501" s="3"/>
    </row>
    <row r="502" spans="1:66" ht="12.9"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1</v>
      </c>
      <c r="AD502" s="1390"/>
      <c r="AE502" s="1390"/>
      <c r="AF502" s="1390"/>
      <c r="AG502" s="38" t="s">
        <v>402</v>
      </c>
      <c r="AH502" s="1427">
        <v>2026</v>
      </c>
      <c r="AI502" s="1427"/>
      <c r="AJ502" s="1427"/>
      <c r="AK502" s="1428"/>
      <c r="AZ502" s="3"/>
      <c r="BA502" s="3"/>
      <c r="BB502" s="3"/>
      <c r="BC502" s="3"/>
      <c r="BD502" s="3"/>
      <c r="BE502" s="3"/>
      <c r="BF502" s="3"/>
      <c r="BG502" s="3"/>
      <c r="BH502" s="3"/>
      <c r="BI502" s="3"/>
      <c r="BJ502" s="3"/>
      <c r="BK502" s="3"/>
      <c r="BL502" s="3"/>
      <c r="BM502" s="3"/>
      <c r="BN502" s="3"/>
    </row>
    <row r="503" spans="1:66" ht="12.9"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590</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2.9" customHeight="1">
      <c r="B504" s="1399"/>
      <c r="C504" s="1400"/>
      <c r="D504" s="1400"/>
      <c r="E504" s="1400"/>
      <c r="F504" s="1400"/>
      <c r="G504" s="1400"/>
      <c r="H504" s="1401"/>
      <c r="I504" t="s">
        <v>409</v>
      </c>
      <c r="AC504" s="1389" t="s">
        <v>590</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2.9" customHeight="1">
      <c r="B505" s="1399"/>
      <c r="C505" s="1400"/>
      <c r="D505" s="1400"/>
      <c r="E505" s="1400"/>
      <c r="F505" s="1400"/>
      <c r="G505" s="1400"/>
      <c r="H505" s="1401"/>
      <c r="I505" t="s">
        <v>410</v>
      </c>
      <c r="AC505" s="1389">
        <v>10</v>
      </c>
      <c r="AD505" s="1390"/>
      <c r="AE505" s="1390"/>
      <c r="AF505" s="1390"/>
      <c r="AG505" s="13" t="s">
        <v>402</v>
      </c>
      <c r="AH505" s="1427">
        <v>2025</v>
      </c>
      <c r="AI505" s="1427"/>
      <c r="AJ505" s="1427"/>
      <c r="AK505" s="1428"/>
      <c r="AZ505" s="3"/>
      <c r="BA505" s="3"/>
      <c r="BB505" s="3"/>
      <c r="BC505" s="3"/>
      <c r="BD505" s="3"/>
      <c r="BE505" s="3"/>
      <c r="BF505" s="3"/>
      <c r="BG505" s="3"/>
      <c r="BH505" s="3"/>
      <c r="BI505" s="3"/>
      <c r="BJ505" s="3"/>
      <c r="BK505" s="3"/>
      <c r="BL505" s="3"/>
      <c r="BM505" s="3"/>
      <c r="BN505" s="3"/>
    </row>
    <row r="506" spans="1:66" ht="12.9" customHeight="1">
      <c r="B506" s="1399"/>
      <c r="C506" s="1400"/>
      <c r="D506" s="1400"/>
      <c r="E506" s="1400"/>
      <c r="F506" s="1400"/>
      <c r="G506" s="1400"/>
      <c r="H506" s="1401"/>
      <c r="I506" t="s">
        <v>411</v>
      </c>
      <c r="AC506" s="1389">
        <v>12</v>
      </c>
      <c r="AD506" s="1390"/>
      <c r="AE506" s="1390"/>
      <c r="AF506" s="1390"/>
      <c r="AG506" s="13" t="s">
        <v>402</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 customHeight="1">
      <c r="B507" s="1399"/>
      <c r="C507" s="1400"/>
      <c r="D507" s="1400"/>
      <c r="E507" s="1400"/>
      <c r="F507" s="1400"/>
      <c r="G507" s="1400"/>
      <c r="H507" s="1401"/>
      <c r="I507" s="3" t="s">
        <v>412</v>
      </c>
      <c r="AC507" s="1355">
        <v>12</v>
      </c>
      <c r="AD507" s="1356"/>
      <c r="AE507" s="1356"/>
      <c r="AF507" s="1356"/>
      <c r="AG507" s="13" t="s">
        <v>402</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 customHeight="1">
      <c r="B508" s="1399"/>
      <c r="C508" s="1400"/>
      <c r="D508" s="1400"/>
      <c r="E508" s="1400"/>
      <c r="F508" s="1400"/>
      <c r="G508" s="1400"/>
      <c r="H508" s="1401"/>
      <c r="I508" s="896"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9" t="s">
        <v>590</v>
      </c>
      <c r="AD508" s="1390"/>
      <c r="AE508" s="1390"/>
      <c r="AF508" s="1390"/>
      <c r="AG508" s="38" t="s">
        <v>402</v>
      </c>
      <c r="AH508" s="1427"/>
      <c r="AI508" s="1427"/>
      <c r="AJ508" s="1427"/>
      <c r="AK508" s="1428"/>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1674</v>
      </c>
      <c r="AC509" s="1385" t="s">
        <v>668</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1671</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90"/>
      <c r="AI512" s="1590"/>
      <c r="AJ512" s="1590"/>
      <c r="AK512" s="1591"/>
      <c r="AZ512" s="3"/>
      <c r="BA512" s="3"/>
      <c r="BB512" s="3"/>
      <c r="BC512" s="3"/>
      <c r="BD512" s="3"/>
      <c r="BE512" s="3"/>
      <c r="BF512" s="3"/>
      <c r="BG512" s="3"/>
      <c r="BH512" s="3"/>
      <c r="BI512" s="3"/>
      <c r="BJ512" s="3"/>
      <c r="BK512" s="3"/>
      <c r="BL512" s="3"/>
      <c r="BM512" s="3"/>
      <c r="BN512" s="3" t="s">
        <v>1183</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2104</v>
      </c>
    </row>
    <row r="514" spans="2:66" ht="12.9"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5</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2.9" customHeight="1">
      <c r="B515" s="1399"/>
      <c r="C515" s="1400"/>
      <c r="D515" s="1400"/>
      <c r="E515" s="1400"/>
      <c r="F515" s="1400"/>
      <c r="G515" s="1400"/>
      <c r="H515" s="1401"/>
      <c r="I515" t="s">
        <v>415</v>
      </c>
      <c r="AC515" s="1389">
        <v>5</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2108</v>
      </c>
    </row>
    <row r="518" spans="2:66" ht="12.9" customHeight="1">
      <c r="B518" s="1399"/>
      <c r="C518" s="1400"/>
      <c r="D518" s="1400"/>
      <c r="E518" s="1400"/>
      <c r="F518" s="1400"/>
      <c r="G518" s="1400"/>
      <c r="H518" s="1401"/>
      <c r="I518" t="s">
        <v>415</v>
      </c>
      <c r="AC518" s="1389">
        <v>5</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2109</v>
      </c>
    </row>
    <row r="519" spans="2:66" ht="12.9"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8</v>
      </c>
      <c r="AD519" s="1390"/>
      <c r="AE519" s="1390"/>
      <c r="AF519" s="1390"/>
      <c r="AG519" s="38" t="s">
        <v>402</v>
      </c>
      <c r="AH519" s="1427">
        <v>2028</v>
      </c>
      <c r="AI519" s="1427"/>
      <c r="AJ519" s="1427"/>
      <c r="AK519" s="1428"/>
      <c r="BB519" s="3"/>
      <c r="BC519" s="3"/>
      <c r="BD519" s="3"/>
      <c r="BE519" s="3"/>
      <c r="BF519" s="3"/>
      <c r="BG519" s="3"/>
      <c r="BH519" s="3"/>
      <c r="BI519" s="3"/>
      <c r="BJ519" s="3"/>
      <c r="BK519" s="3"/>
      <c r="BL519" s="3"/>
      <c r="BM519" s="3"/>
      <c r="BN519" s="3" t="s">
        <v>2110</v>
      </c>
    </row>
    <row r="520" spans="2:66" ht="12.9" customHeight="1">
      <c r="B520" s="1396" t="s">
        <v>418</v>
      </c>
      <c r="C520" s="1397"/>
      <c r="D520" s="1397"/>
      <c r="E520" s="1397"/>
      <c r="F520" s="1397"/>
      <c r="G520" s="1397"/>
      <c r="H520" s="1398"/>
      <c r="I520" s="41" t="s">
        <v>419</v>
      </c>
      <c r="J520" s="42"/>
      <c r="K520" s="42"/>
      <c r="L520" s="42"/>
      <c r="M520" s="42"/>
      <c r="N520" s="42"/>
      <c r="O520" s="1433" t="s">
        <v>2714</v>
      </c>
      <c r="P520" s="1434"/>
      <c r="Q520" s="1434"/>
      <c r="R520" s="1434"/>
      <c r="S520" s="1434"/>
      <c r="T520" s="1434"/>
      <c r="U520" s="1434"/>
      <c r="V520" s="1434"/>
      <c r="W520" s="1434"/>
      <c r="X520" s="1434"/>
      <c r="Y520" s="1434"/>
      <c r="Z520" s="1434"/>
      <c r="AA520" s="1434"/>
      <c r="AB520" s="58"/>
      <c r="AC520" s="1355">
        <v>2</v>
      </c>
      <c r="AD520" s="1356"/>
      <c r="AE520" s="1356"/>
      <c r="AF520" s="1356"/>
      <c r="AG520" s="129" t="s">
        <v>402</v>
      </c>
      <c r="AH520" s="1427">
        <v>2025</v>
      </c>
      <c r="AI520" s="1427"/>
      <c r="AJ520" s="1427"/>
      <c r="AK520" s="1428"/>
      <c r="AZ520" s="3"/>
      <c r="BB520" s="3"/>
      <c r="BC520" s="3"/>
      <c r="BD520" s="3"/>
      <c r="BE520" s="3"/>
      <c r="BF520" s="3"/>
      <c r="BG520" s="3"/>
      <c r="BH520" s="3"/>
      <c r="BI520" s="3"/>
      <c r="BJ520" s="3"/>
      <c r="BK520" s="3"/>
      <c r="BL520" s="3"/>
      <c r="BM520" s="3"/>
      <c r="BN520" s="3" t="s">
        <v>2111</v>
      </c>
    </row>
    <row r="521" spans="2:66" ht="12.9" customHeight="1">
      <c r="B521" s="1399"/>
      <c r="C521" s="1400"/>
      <c r="D521" s="1400"/>
      <c r="E521" s="1400"/>
      <c r="F521" s="1400"/>
      <c r="G521" s="1400"/>
      <c r="H521" s="1401"/>
      <c r="I521" s="114" t="s">
        <v>420</v>
      </c>
      <c r="AB521" s="65"/>
      <c r="AC521" s="1389">
        <v>9</v>
      </c>
      <c r="AD521" s="1390"/>
      <c r="AE521" s="1390"/>
      <c r="AF521" s="1390"/>
      <c r="AG521" s="13" t="s">
        <v>402</v>
      </c>
      <c r="AH521" s="1427">
        <v>2024</v>
      </c>
      <c r="AI521" s="1427"/>
      <c r="AJ521" s="1427"/>
      <c r="AK521" s="1428"/>
      <c r="AZ521" s="3"/>
      <c r="BB521" s="3"/>
      <c r="BC521" s="3"/>
      <c r="BD521" s="3"/>
      <c r="BE521" s="3"/>
      <c r="BF521" s="3"/>
      <c r="BG521" s="3"/>
      <c r="BH521" s="3"/>
      <c r="BI521" s="3"/>
      <c r="BJ521" s="3"/>
      <c r="BK521" s="3"/>
      <c r="BL521" s="3"/>
      <c r="BM521" s="3"/>
      <c r="BN521" s="3" t="s">
        <v>2112</v>
      </c>
    </row>
    <row r="522" spans="2:66" ht="12.9"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2</v>
      </c>
      <c r="AD522" s="1390"/>
      <c r="AE522" s="1390"/>
      <c r="AF522" s="1390"/>
      <c r="AG522" s="38" t="s">
        <v>402</v>
      </c>
      <c r="AH522" s="1427">
        <v>2026</v>
      </c>
      <c r="AI522" s="1427"/>
      <c r="AJ522" s="1427"/>
      <c r="AK522" s="1428"/>
      <c r="AZ522" s="3"/>
      <c r="BA522" s="3"/>
      <c r="BB522" s="3"/>
      <c r="BC522" s="3"/>
      <c r="BD522" s="3"/>
      <c r="BE522" s="3"/>
      <c r="BF522" s="3"/>
      <c r="BG522" s="3"/>
      <c r="BH522" s="3"/>
      <c r="BI522" s="3"/>
      <c r="BJ522" s="3"/>
      <c r="BK522" s="3"/>
      <c r="BL522" s="3"/>
      <c r="BM522" s="3"/>
      <c r="BN522" s="3" t="s">
        <v>2113</v>
      </c>
    </row>
    <row r="523" spans="2:66" ht="12.9" customHeight="1">
      <c r="B523" s="1399"/>
      <c r="C523" s="1400"/>
      <c r="D523" s="1400"/>
      <c r="E523" s="1400"/>
      <c r="F523" s="1400"/>
      <c r="G523" s="1400"/>
      <c r="H523" s="1401"/>
      <c r="I523" s="42" t="s">
        <v>422</v>
      </c>
      <c r="J523" s="42"/>
      <c r="K523" s="42"/>
      <c r="L523" s="42"/>
      <c r="M523" s="42"/>
      <c r="N523" s="42"/>
      <c r="O523" s="1433" t="s">
        <v>333</v>
      </c>
      <c r="P523" s="1434"/>
      <c r="Q523" s="1434"/>
      <c r="R523" s="1434"/>
      <c r="S523" s="1434"/>
      <c r="T523" s="1434"/>
      <c r="U523" s="1434"/>
      <c r="V523" s="1434"/>
      <c r="W523" s="1434"/>
      <c r="X523" s="1434"/>
      <c r="Y523" s="1434"/>
      <c r="Z523" s="1434"/>
      <c r="AA523" s="1434"/>
      <c r="AC523" s="1389" t="s">
        <v>590</v>
      </c>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 customHeight="1">
      <c r="B524" s="1399"/>
      <c r="C524" s="1400"/>
      <c r="D524" s="1400"/>
      <c r="E524" s="1400"/>
      <c r="F524" s="1400"/>
      <c r="G524" s="1400"/>
      <c r="H524" s="1401"/>
      <c r="I524" t="s">
        <v>420</v>
      </c>
      <c r="AC524" s="1389" t="s">
        <v>590</v>
      </c>
      <c r="AD524" s="1390"/>
      <c r="AE524" s="1390"/>
      <c r="AF524" s="1390"/>
      <c r="AG524" s="13" t="s">
        <v>402</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2.9"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t="s">
        <v>590</v>
      </c>
      <c r="AD525" s="1390"/>
      <c r="AE525" s="1390"/>
      <c r="AF525" s="1390"/>
      <c r="AG525" s="38" t="s">
        <v>402</v>
      </c>
      <c r="AH525" s="1427"/>
      <c r="AI525" s="1427"/>
      <c r="AJ525" s="1427"/>
      <c r="AK525" s="1428"/>
      <c r="AZ525" s="3"/>
      <c r="BA525" s="3"/>
      <c r="BB525" s="3"/>
      <c r="BC525" s="3"/>
      <c r="BD525" s="3"/>
      <c r="BE525" s="3"/>
      <c r="BF525" s="3"/>
      <c r="BG525" s="3"/>
      <c r="BH525" s="3"/>
      <c r="BI525" s="3"/>
      <c r="BJ525" s="3"/>
      <c r="BK525" s="3"/>
      <c r="BL525" s="3"/>
      <c r="BM525" s="3"/>
      <c r="BN525" s="3" t="s">
        <v>2116</v>
      </c>
    </row>
    <row r="526" spans="2:66" ht="12.9" customHeight="1">
      <c r="B526" s="1399"/>
      <c r="C526" s="1400"/>
      <c r="D526" s="1400"/>
      <c r="E526" s="1400"/>
      <c r="F526" s="1400"/>
      <c r="G526" s="1400"/>
      <c r="H526" s="1401"/>
      <c r="I526" s="42" t="s">
        <v>422</v>
      </c>
      <c r="J526" s="42"/>
      <c r="K526" s="42"/>
      <c r="L526" s="42"/>
      <c r="M526" s="42"/>
      <c r="N526" s="42"/>
      <c r="O526" s="1433" t="s">
        <v>333</v>
      </c>
      <c r="P526" s="1434"/>
      <c r="Q526" s="1434"/>
      <c r="R526" s="1434"/>
      <c r="S526" s="1434"/>
      <c r="T526" s="1434"/>
      <c r="U526" s="1434"/>
      <c r="V526" s="1434"/>
      <c r="W526" s="1434"/>
      <c r="X526" s="1434"/>
      <c r="Y526" s="1434"/>
      <c r="Z526" s="1434"/>
      <c r="AA526" s="1434"/>
      <c r="AC526" s="1389" t="s">
        <v>590</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 customHeight="1">
      <c r="B527" s="1399"/>
      <c r="C527" s="1400"/>
      <c r="D527" s="1400"/>
      <c r="E527" s="1400"/>
      <c r="F527" s="1400"/>
      <c r="G527" s="1400"/>
      <c r="H527" s="1401"/>
      <c r="I527" t="s">
        <v>420</v>
      </c>
      <c r="AC527" s="1389" t="s">
        <v>590</v>
      </c>
      <c r="AD527" s="1390"/>
      <c r="AE527" s="1390"/>
      <c r="AF527" s="1390"/>
      <c r="AG527" s="13" t="s">
        <v>402</v>
      </c>
      <c r="AH527" s="1427"/>
      <c r="AI527" s="1427"/>
      <c r="AJ527" s="1427"/>
      <c r="AK527" s="1428"/>
      <c r="AZ527" s="3"/>
      <c r="BA527" s="3"/>
      <c r="BB527" s="3"/>
      <c r="BC527" s="3"/>
      <c r="BD527" s="3"/>
      <c r="BE527" s="3"/>
      <c r="BF527" s="3"/>
      <c r="BG527" s="3"/>
      <c r="BH527" s="3"/>
      <c r="BI527" s="3"/>
      <c r="BJ527" s="3"/>
      <c r="BK527" s="3"/>
      <c r="BL527" s="3"/>
      <c r="BM527" s="3"/>
      <c r="BN527" s="3" t="s">
        <v>2118</v>
      </c>
    </row>
    <row r="528" spans="2:66" ht="12.9"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590</v>
      </c>
      <c r="AD528" s="1390"/>
      <c r="AE528" s="1390"/>
      <c r="AF528" s="1390"/>
      <c r="AG528" s="38" t="s">
        <v>402</v>
      </c>
      <c r="AH528" s="1427"/>
      <c r="AI528" s="1427"/>
      <c r="AJ528" s="1427"/>
      <c r="AK528" s="1428"/>
      <c r="AZ528" s="3"/>
      <c r="BA528" s="3"/>
      <c r="BB528" s="3"/>
      <c r="BC528" s="3"/>
      <c r="BD528" s="3"/>
      <c r="BE528" s="3"/>
      <c r="BF528" s="3"/>
      <c r="BG528" s="3"/>
      <c r="BH528" s="3"/>
      <c r="BI528" s="3"/>
      <c r="BJ528" s="3"/>
      <c r="BK528" s="3"/>
      <c r="BL528" s="3"/>
      <c r="BM528" s="3"/>
      <c r="BN528" s="3" t="s">
        <v>2119</v>
      </c>
    </row>
    <row r="529" spans="1:66" ht="12.9" customHeight="1">
      <c r="B529" s="1399"/>
      <c r="C529" s="1400"/>
      <c r="D529" s="1400"/>
      <c r="E529" s="1400"/>
      <c r="F529" s="1400"/>
      <c r="G529" s="1400"/>
      <c r="H529" s="1401"/>
      <c r="I529" s="42" t="s">
        <v>422</v>
      </c>
      <c r="J529" s="42"/>
      <c r="K529" s="42"/>
      <c r="L529" s="42"/>
      <c r="M529" s="42"/>
      <c r="N529" s="42"/>
      <c r="O529" s="1433" t="s">
        <v>333</v>
      </c>
      <c r="P529" s="1434"/>
      <c r="Q529" s="1434"/>
      <c r="R529" s="1434"/>
      <c r="S529" s="1434"/>
      <c r="T529" s="1434"/>
      <c r="U529" s="1434"/>
      <c r="V529" s="1434"/>
      <c r="W529" s="1434"/>
      <c r="X529" s="1434"/>
      <c r="Y529" s="1434"/>
      <c r="Z529" s="1434"/>
      <c r="AA529" s="1434"/>
      <c r="AC529" s="1389" t="s">
        <v>590</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 customHeight="1">
      <c r="B530" s="1399"/>
      <c r="C530" s="1400"/>
      <c r="D530" s="1400"/>
      <c r="E530" s="1400"/>
      <c r="F530" s="1400"/>
      <c r="G530" s="1400"/>
      <c r="H530" s="1401"/>
      <c r="I530" t="s">
        <v>420</v>
      </c>
      <c r="AC530" s="1389" t="s">
        <v>590</v>
      </c>
      <c r="AD530" s="1390"/>
      <c r="AE530" s="1390"/>
      <c r="AF530" s="1390"/>
      <c r="AG530" s="13" t="s">
        <v>402</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2.9"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590</v>
      </c>
      <c r="AD531" s="1390"/>
      <c r="AE531" s="1390"/>
      <c r="AF531" s="1390"/>
      <c r="AG531" s="38" t="s">
        <v>402</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2.9"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590</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 customHeight="1">
      <c r="B533" s="1399"/>
      <c r="C533" s="1400"/>
      <c r="D533" s="1400"/>
      <c r="E533" s="1400"/>
      <c r="F533" s="1400"/>
      <c r="G533" s="1400"/>
      <c r="H533" s="1401"/>
      <c r="I533" t="s">
        <v>420</v>
      </c>
      <c r="AC533" s="1389" t="s">
        <v>590</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2.9"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2.9"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590</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 customHeight="1">
      <c r="B536" s="1399"/>
      <c r="C536" s="1400"/>
      <c r="D536" s="1400"/>
      <c r="E536" s="1400"/>
      <c r="F536" s="1400"/>
      <c r="G536" s="1400"/>
      <c r="H536" s="1401"/>
      <c r="I536" t="s">
        <v>420</v>
      </c>
      <c r="AC536" s="1389" t="s">
        <v>590</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v>3</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 customHeight="1">
      <c r="B539" s="1399"/>
      <c r="C539" s="1400"/>
      <c r="D539" s="1400"/>
      <c r="E539" s="1400"/>
      <c r="F539" s="1400"/>
      <c r="G539" s="1400"/>
      <c r="H539" s="1401"/>
      <c r="I539" t="s">
        <v>562</v>
      </c>
      <c r="AC539" s="1389">
        <v>2</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 customHeight="1">
      <c r="B540" s="1399"/>
      <c r="C540" s="1400"/>
      <c r="D540" s="1400"/>
      <c r="E540" s="1400"/>
      <c r="F540" s="1400"/>
      <c r="G540" s="1400"/>
      <c r="H540" s="1401"/>
      <c r="I540" t="s">
        <v>563</v>
      </c>
      <c r="AC540" s="1389">
        <v>10</v>
      </c>
      <c r="AD540" s="1390"/>
      <c r="AE540" s="1390"/>
      <c r="AF540" s="1390"/>
      <c r="AG540" s="38" t="s">
        <v>402</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 customHeight="1">
      <c r="B541" s="1399"/>
      <c r="C541" s="1400"/>
      <c r="D541" s="1400"/>
      <c r="E541" s="1400"/>
      <c r="F541" s="1400"/>
      <c r="G541" s="1400"/>
      <c r="H541" s="1401"/>
      <c r="I541" t="s">
        <v>564</v>
      </c>
      <c r="AC541" s="1389">
        <v>10</v>
      </c>
      <c r="AD541" s="1390"/>
      <c r="AE541" s="1390"/>
      <c r="AF541" s="1390"/>
      <c r="AG541" s="38" t="s">
        <v>402</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5</v>
      </c>
      <c r="AD542" s="1390"/>
      <c r="AE542" s="1390"/>
      <c r="AF542" s="1390"/>
      <c r="AG542" s="38" t="s">
        <v>402</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451</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452</v>
      </c>
      <c r="X551" s="1397"/>
      <c r="Y551" s="1398"/>
      <c r="Z551" s="1396" t="s">
        <v>1851</v>
      </c>
      <c r="AA551" s="1397"/>
      <c r="AB551" s="1397"/>
      <c r="AC551" s="1397"/>
      <c r="AD551" s="1398"/>
      <c r="AE551" s="1396" t="s">
        <v>1675</v>
      </c>
      <c r="AF551" s="1397"/>
      <c r="AG551" s="1397"/>
      <c r="AH551" s="1398"/>
      <c r="AI551" s="1396" t="s">
        <v>1676</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No</v>
      </c>
    </row>
    <row r="552" spans="1:61" ht="12.9"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 customHeight="1">
      <c r="B554" s="51" t="s">
        <v>112</v>
      </c>
      <c r="C554" s="1439" t="s">
        <v>2703</v>
      </c>
      <c r="D554" s="1439"/>
      <c r="E554" s="1439"/>
      <c r="F554" s="1439"/>
      <c r="G554" s="1439"/>
      <c r="H554" s="1439"/>
      <c r="I554" s="1439"/>
      <c r="J554" s="1439"/>
      <c r="K554" s="1439"/>
      <c r="L554" s="1439"/>
      <c r="M554" s="1439" t="s">
        <v>2119</v>
      </c>
      <c r="N554" s="1439"/>
      <c r="O554" s="1439"/>
      <c r="P554" s="1439"/>
      <c r="Q554" s="1425">
        <v>20</v>
      </c>
      <c r="R554" s="1425"/>
      <c r="S554" s="1426"/>
      <c r="T554" s="1424"/>
      <c r="U554" s="1425"/>
      <c r="V554" s="1426"/>
      <c r="W554" s="1421">
        <v>6.3E-2</v>
      </c>
      <c r="X554" s="1422"/>
      <c r="Y554" s="1423"/>
      <c r="Z554" s="1430" t="s">
        <v>2663</v>
      </c>
      <c r="AA554" s="1430"/>
      <c r="AB554" s="1430"/>
      <c r="AC554" s="1430"/>
      <c r="AD554" s="1430"/>
      <c r="AE554" s="1412"/>
      <c r="AF554" s="1413"/>
      <c r="AG554" s="1413"/>
      <c r="AH554" s="1414"/>
      <c r="AI554" s="1436"/>
      <c r="AJ554" s="1437"/>
      <c r="AK554" s="1437"/>
      <c r="AL554" s="1438"/>
      <c r="AM554" s="1465">
        <v>47076397</v>
      </c>
      <c r="AN554" s="1466"/>
      <c r="AO554" s="1466"/>
      <c r="AP554" s="1466"/>
      <c r="AQ554" s="1466"/>
      <c r="AR554" s="1466"/>
      <c r="AS554" s="1467"/>
      <c r="AT554" s="1148"/>
      <c r="AU554" s="1147"/>
      <c r="BB554" s="3"/>
      <c r="BC554" s="3"/>
      <c r="BD554" s="3"/>
      <c r="BE554" s="3"/>
      <c r="BF554" s="3"/>
      <c r="BG554" s="3"/>
      <c r="BH554" s="3"/>
      <c r="BI554" s="3"/>
    </row>
    <row r="555" spans="1:61" ht="12.9" customHeight="1">
      <c r="B555" s="52" t="s">
        <v>113</v>
      </c>
      <c r="C555" s="1440" t="s">
        <v>2703</v>
      </c>
      <c r="D555" s="1440"/>
      <c r="E555" s="1440"/>
      <c r="F555" s="1440"/>
      <c r="G555" s="1440"/>
      <c r="H555" s="1440"/>
      <c r="I555" s="1440"/>
      <c r="J555" s="1440"/>
      <c r="K555" s="1440"/>
      <c r="L555" s="1440"/>
      <c r="M555" s="1439" t="s">
        <v>2118</v>
      </c>
      <c r="N555" s="1439"/>
      <c r="O555" s="1439"/>
      <c r="P555" s="1439"/>
      <c r="Q555" s="1424">
        <v>20</v>
      </c>
      <c r="R555" s="1425"/>
      <c r="S555" s="1426"/>
      <c r="T555" s="1424"/>
      <c r="U555" s="1425"/>
      <c r="V555" s="1426"/>
      <c r="W555" s="1421">
        <v>7.2499999999999995E-2</v>
      </c>
      <c r="X555" s="1422"/>
      <c r="Y555" s="1423"/>
      <c r="Z555" s="1430" t="s">
        <v>2663</v>
      </c>
      <c r="AA555" s="1430"/>
      <c r="AB555" s="1430"/>
      <c r="AC555" s="1430"/>
      <c r="AD555" s="1430"/>
      <c r="AE555" s="1412"/>
      <c r="AF555" s="1413"/>
      <c r="AG555" s="1413"/>
      <c r="AH555" s="1414"/>
      <c r="AI555" s="1436"/>
      <c r="AJ555" s="1437"/>
      <c r="AK555" s="1437"/>
      <c r="AL555" s="1438"/>
      <c r="AM555" s="1465">
        <f>60227149-AM554</f>
        <v>13150752</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 customHeight="1">
      <c r="B556" s="52" t="s">
        <v>119</v>
      </c>
      <c r="C556" s="1440" t="s">
        <v>2702</v>
      </c>
      <c r="D556" s="1440"/>
      <c r="E556" s="1440"/>
      <c r="F556" s="1440"/>
      <c r="G556" s="1440"/>
      <c r="H556" s="1440"/>
      <c r="I556" s="1440"/>
      <c r="J556" s="1440"/>
      <c r="K556" s="1440"/>
      <c r="L556" s="1440"/>
      <c r="M556" s="1439" t="s">
        <v>2115</v>
      </c>
      <c r="N556" s="1439"/>
      <c r="O556" s="1439"/>
      <c r="P556" s="1439"/>
      <c r="Q556" s="1424">
        <f>55*12</f>
        <v>660</v>
      </c>
      <c r="R556" s="1425"/>
      <c r="S556" s="1426"/>
      <c r="T556" s="1424"/>
      <c r="U556" s="1425"/>
      <c r="V556" s="1426"/>
      <c r="W556" s="1421">
        <v>0.03</v>
      </c>
      <c r="X556" s="1422"/>
      <c r="Y556" s="1423"/>
      <c r="Z556" s="1430" t="s">
        <v>2663</v>
      </c>
      <c r="AA556" s="1430"/>
      <c r="AB556" s="1430"/>
      <c r="AC556" s="1430"/>
      <c r="AD556" s="1430"/>
      <c r="AE556" s="1412"/>
      <c r="AF556" s="1413"/>
      <c r="AG556" s="1413"/>
      <c r="AH556" s="1414"/>
      <c r="AI556" s="1436"/>
      <c r="AJ556" s="1437"/>
      <c r="AK556" s="1437"/>
      <c r="AL556" s="1438"/>
      <c r="AM556" s="1465">
        <v>13390216</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 customHeight="1">
      <c r="B557" s="52" t="s">
        <v>580</v>
      </c>
      <c r="C557" s="1440" t="s">
        <v>2625</v>
      </c>
      <c r="D557" s="1440"/>
      <c r="E557" s="1440"/>
      <c r="F557" s="1440"/>
      <c r="G557" s="1440"/>
      <c r="H557" s="1440"/>
      <c r="I557" s="1440"/>
      <c r="J557" s="1440"/>
      <c r="K557" s="1440"/>
      <c r="L557" s="1440"/>
      <c r="M557" s="1439" t="s">
        <v>2105</v>
      </c>
      <c r="N557" s="1439"/>
      <c r="O557" s="1439"/>
      <c r="P557" s="1439"/>
      <c r="Q557" s="1424"/>
      <c r="R557" s="1425"/>
      <c r="S557" s="1426"/>
      <c r="T557" s="1424"/>
      <c r="U557" s="1425"/>
      <c r="V557" s="1426"/>
      <c r="W557" s="1421"/>
      <c r="X557" s="1422"/>
      <c r="Y557" s="1423"/>
      <c r="Z557" s="1430" t="s">
        <v>590</v>
      </c>
      <c r="AA557" s="1430"/>
      <c r="AB557" s="1430"/>
      <c r="AC557" s="1430"/>
      <c r="AD557" s="1430"/>
      <c r="AE557" s="1412"/>
      <c r="AF557" s="1413"/>
      <c r="AG557" s="1413"/>
      <c r="AH557" s="1414"/>
      <c r="AI557" s="1436"/>
      <c r="AJ557" s="1437"/>
      <c r="AK557" s="1437"/>
      <c r="AL557" s="1438"/>
      <c r="AM557" s="1465">
        <f>15338812-1</f>
        <v>15338811</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 customHeight="1">
      <c r="B558" s="52" t="s">
        <v>762</v>
      </c>
      <c r="C558" s="1440" t="s">
        <v>2662</v>
      </c>
      <c r="D558" s="1440"/>
      <c r="E558" s="1440"/>
      <c r="F558" s="1440"/>
      <c r="G558" s="1440"/>
      <c r="H558" s="1440"/>
      <c r="I558" s="1440"/>
      <c r="J558" s="1440"/>
      <c r="K558" s="1440"/>
      <c r="L558" s="1440"/>
      <c r="M558" s="1439" t="s">
        <v>2110</v>
      </c>
      <c r="N558" s="1439"/>
      <c r="O558" s="1439"/>
      <c r="P558" s="1439"/>
      <c r="Q558" s="1424"/>
      <c r="R558" s="1425"/>
      <c r="S558" s="1426"/>
      <c r="T558" s="1424"/>
      <c r="U558" s="1425"/>
      <c r="V558" s="1426"/>
      <c r="W558" s="1421"/>
      <c r="X558" s="1422"/>
      <c r="Y558" s="1423"/>
      <c r="Z558" s="1430" t="s">
        <v>590</v>
      </c>
      <c r="AA558" s="1430"/>
      <c r="AB558" s="1430"/>
      <c r="AC558" s="1430"/>
      <c r="AD558" s="1430"/>
      <c r="AE558" s="1412"/>
      <c r="AF558" s="1413"/>
      <c r="AG558" s="1413"/>
      <c r="AH558" s="1414"/>
      <c r="AI558" s="1436"/>
      <c r="AJ558" s="1437"/>
      <c r="AK558" s="1437"/>
      <c r="AL558" s="1438"/>
      <c r="AM558" s="1465">
        <v>5915887</v>
      </c>
      <c r="AN558" s="1466"/>
      <c r="AO558" s="1466"/>
      <c r="AP558" s="1466"/>
      <c r="AQ558" s="1466"/>
      <c r="AR558" s="1466"/>
      <c r="AS558" s="1467"/>
      <c r="AT558" s="1148" t="str">
        <f t="shared" ref="AT558:AT565" si="0">IF(AND(NOT(C557=""),C558="",NOT(C559="")),"!","")</f>
        <v/>
      </c>
      <c r="AU558" s="1147"/>
      <c r="BB558" s="3"/>
      <c r="BC558" s="3"/>
      <c r="BD558" s="3"/>
      <c r="BE558" s="3"/>
      <c r="BF558" s="3"/>
      <c r="BG558" s="3"/>
      <c r="BH558" s="3" t="s">
        <v>762</v>
      </c>
      <c r="BI558" s="3" t="str">
        <f>N665</f>
        <v>No</v>
      </c>
    </row>
    <row r="559" spans="1:61" ht="12.9" customHeight="1">
      <c r="B559" s="52" t="s">
        <v>583</v>
      </c>
      <c r="C559" s="1440"/>
      <c r="D559" s="1440"/>
      <c r="E559" s="1440"/>
      <c r="F559" s="1440"/>
      <c r="G559" s="1440"/>
      <c r="H559" s="1440"/>
      <c r="I559" s="1440"/>
      <c r="J559" s="1440"/>
      <c r="K559" s="1440"/>
      <c r="L559" s="1440"/>
      <c r="M559" s="1439" t="s">
        <v>1183</v>
      </c>
      <c r="N559" s="1439"/>
      <c r="O559" s="1439"/>
      <c r="P559" s="1439"/>
      <c r="Q559" s="1424"/>
      <c r="R559" s="1425"/>
      <c r="S559" s="1426"/>
      <c r="T559" s="1424"/>
      <c r="U559" s="1425"/>
      <c r="V559" s="1426"/>
      <c r="W559" s="1421"/>
      <c r="X559" s="1422"/>
      <c r="Y559" s="1423"/>
      <c r="Z559" s="1430" t="s">
        <v>1183</v>
      </c>
      <c r="AA559" s="1430"/>
      <c r="AB559" s="1430"/>
      <c r="AC559" s="1430"/>
      <c r="AD559" s="1430"/>
      <c r="AE559" s="1412"/>
      <c r="AF559" s="1413"/>
      <c r="AG559" s="1413"/>
      <c r="AH559" s="1414"/>
      <c r="AI559" s="1436"/>
      <c r="AJ559" s="1437"/>
      <c r="AK559" s="1437"/>
      <c r="AL559" s="1438"/>
      <c r="AM559" s="1465"/>
      <c r="AN559" s="1466"/>
      <c r="AO559" s="1466"/>
      <c r="AP559" s="1466"/>
      <c r="AQ559" s="1466"/>
      <c r="AR559" s="1466"/>
      <c r="AS559" s="1467"/>
      <c r="AT559" s="1148" t="str">
        <f t="shared" si="0"/>
        <v/>
      </c>
      <c r="AU559" s="1147"/>
      <c r="BB559" s="3"/>
      <c r="BC559" s="3"/>
      <c r="BD559" s="3"/>
      <c r="BE559" s="3"/>
      <c r="BF559" s="3"/>
      <c r="BG559" s="3"/>
      <c r="BH559" s="3" t="s">
        <v>583</v>
      </c>
      <c r="BI559" s="3" t="str">
        <f>AG665</f>
        <v>No</v>
      </c>
    </row>
    <row r="560" spans="1:61" ht="12.9" customHeight="1">
      <c r="B560" s="52" t="s">
        <v>454</v>
      </c>
      <c r="C560" s="1440"/>
      <c r="D560" s="1440"/>
      <c r="E560" s="1440"/>
      <c r="F560" s="1440"/>
      <c r="G560" s="1440"/>
      <c r="H560" s="1440"/>
      <c r="I560" s="1440"/>
      <c r="J560" s="1440"/>
      <c r="K560" s="1440"/>
      <c r="L560" s="1440"/>
      <c r="M560" s="1439" t="s">
        <v>1183</v>
      </c>
      <c r="N560" s="1439"/>
      <c r="O560" s="1439"/>
      <c r="P560" s="1439"/>
      <c r="Q560" s="1424"/>
      <c r="R560" s="1425"/>
      <c r="S560" s="1426"/>
      <c r="T560" s="1424"/>
      <c r="U560" s="1425"/>
      <c r="V560" s="1426"/>
      <c r="W560" s="1421"/>
      <c r="X560" s="1422"/>
      <c r="Y560" s="1423"/>
      <c r="Z560" s="1430" t="s">
        <v>1183</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0"/>
        <v/>
      </c>
      <c r="AU560" s="1147"/>
      <c r="BB560" s="3"/>
      <c r="BC560" s="3"/>
      <c r="BD560" s="3"/>
      <c r="BE560" s="3"/>
      <c r="BF560" s="3"/>
      <c r="BG560" s="3"/>
      <c r="BH560" s="3"/>
      <c r="BI560" s="3"/>
    </row>
    <row r="561" spans="1:61" ht="12.9" customHeight="1">
      <c r="B561" s="52" t="s">
        <v>455</v>
      </c>
      <c r="C561" s="1440"/>
      <c r="D561" s="1440"/>
      <c r="E561" s="1440"/>
      <c r="F561" s="1440"/>
      <c r="G561" s="1440"/>
      <c r="H561" s="1440"/>
      <c r="I561" s="1440"/>
      <c r="J561" s="1440"/>
      <c r="K561" s="1440"/>
      <c r="L561" s="1440"/>
      <c r="M561" s="1439" t="s">
        <v>1183</v>
      </c>
      <c r="N561" s="1439"/>
      <c r="O561" s="1439"/>
      <c r="P561" s="1439"/>
      <c r="Q561" s="1424"/>
      <c r="R561" s="1425"/>
      <c r="S561" s="1426"/>
      <c r="T561" s="1424"/>
      <c r="U561" s="1425"/>
      <c r="V561" s="1426"/>
      <c r="W561" s="1421"/>
      <c r="X561" s="1422"/>
      <c r="Y561" s="1423"/>
      <c r="Z561" s="1430" t="s">
        <v>1183</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 customHeight="1">
      <c r="B562" s="52" t="s">
        <v>460</v>
      </c>
      <c r="C562" s="1440"/>
      <c r="D562" s="1440"/>
      <c r="E562" s="1440"/>
      <c r="F562" s="1440"/>
      <c r="G562" s="1440"/>
      <c r="H562" s="1440"/>
      <c r="I562" s="1440"/>
      <c r="J562" s="1440"/>
      <c r="K562" s="1440"/>
      <c r="L562" s="1440"/>
      <c r="M562" s="1439" t="s">
        <v>1183</v>
      </c>
      <c r="N562" s="1439"/>
      <c r="O562" s="1439"/>
      <c r="P562" s="1439"/>
      <c r="Q562" s="1424"/>
      <c r="R562" s="1425"/>
      <c r="S562" s="1426"/>
      <c r="T562" s="1424"/>
      <c r="U562" s="1425"/>
      <c r="V562" s="1426"/>
      <c r="W562" s="1421"/>
      <c r="X562" s="1422"/>
      <c r="Y562" s="1423"/>
      <c r="Z562" s="1430" t="s">
        <v>1183</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 customHeight="1">
      <c r="B563" s="52" t="s">
        <v>645</v>
      </c>
      <c r="C563" s="1440"/>
      <c r="D563" s="1440"/>
      <c r="E563" s="1440"/>
      <c r="F563" s="1440"/>
      <c r="G563" s="1440"/>
      <c r="H563" s="1440"/>
      <c r="I563" s="1440"/>
      <c r="J563" s="1440"/>
      <c r="K563" s="1440"/>
      <c r="L563" s="1440"/>
      <c r="M563" s="1439" t="s">
        <v>1183</v>
      </c>
      <c r="N563" s="1439"/>
      <c r="O563" s="1439"/>
      <c r="P563" s="1439"/>
      <c r="Q563" s="1424"/>
      <c r="R563" s="1425"/>
      <c r="S563" s="1426"/>
      <c r="T563" s="1424"/>
      <c r="U563" s="1425"/>
      <c r="V563" s="1426"/>
      <c r="W563" s="1421"/>
      <c r="X563" s="1422"/>
      <c r="Y563" s="1423"/>
      <c r="Z563" s="1430" t="s">
        <v>1183</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 customHeight="1">
      <c r="B564" s="52" t="s">
        <v>361</v>
      </c>
      <c r="C564" s="1440"/>
      <c r="D564" s="1440"/>
      <c r="E564" s="1440"/>
      <c r="F564" s="1440"/>
      <c r="G564" s="1440"/>
      <c r="H564" s="1440"/>
      <c r="I564" s="1440"/>
      <c r="J564" s="1440"/>
      <c r="K564" s="1440"/>
      <c r="L564" s="1440"/>
      <c r="M564" s="1439" t="s">
        <v>1183</v>
      </c>
      <c r="N564" s="1439"/>
      <c r="O564" s="1439"/>
      <c r="P564" s="1439"/>
      <c r="Q564" s="1424"/>
      <c r="R564" s="1425"/>
      <c r="S564" s="1426"/>
      <c r="T564" s="1424"/>
      <c r="U564" s="1425"/>
      <c r="V564" s="1426"/>
      <c r="W564" s="1421"/>
      <c r="X564" s="1422"/>
      <c r="Y564" s="1423"/>
      <c r="Z564" s="1430" t="s">
        <v>1183</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 customHeight="1">
      <c r="B565" s="52" t="s">
        <v>362</v>
      </c>
      <c r="C565" s="1440"/>
      <c r="D565" s="1440"/>
      <c r="E565" s="1440"/>
      <c r="F565" s="1440"/>
      <c r="G565" s="1440"/>
      <c r="H565" s="1440"/>
      <c r="I565" s="1440"/>
      <c r="J565" s="1440"/>
      <c r="K565" s="1440"/>
      <c r="L565" s="1440"/>
      <c r="M565" s="1439" t="s">
        <v>1183</v>
      </c>
      <c r="N565" s="1439"/>
      <c r="O565" s="1439"/>
      <c r="P565" s="1439"/>
      <c r="Q565" s="1424"/>
      <c r="R565" s="1425"/>
      <c r="S565" s="1426"/>
      <c r="T565" s="1424"/>
      <c r="U565" s="1425"/>
      <c r="V565" s="1426"/>
      <c r="W565" s="1421"/>
      <c r="X565" s="1422"/>
      <c r="Y565" s="1423"/>
      <c r="Z565" s="1430" t="s">
        <v>1183</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94872063</v>
      </c>
      <c r="AN566" s="1473"/>
      <c r="AO566" s="1473"/>
      <c r="AP566" s="1473"/>
      <c r="AQ566" s="1473"/>
      <c r="AR566" s="1473"/>
      <c r="AS566" s="1474"/>
      <c r="BB566" s="3"/>
      <c r="BC566" s="3"/>
      <c r="BD566" s="3"/>
      <c r="BE566" s="3"/>
      <c r="BF566" s="3"/>
      <c r="BG566" s="3"/>
      <c r="BH566" s="3" t="s">
        <v>454</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 customHeight="1">
      <c r="A568" s="55" t="s">
        <v>112</v>
      </c>
      <c r="B568" t="s">
        <v>462</v>
      </c>
      <c r="G568" s="1483" t="str">
        <f>C554</f>
        <v>Citi Community Capital</v>
      </c>
      <c r="H568" s="1483"/>
      <c r="I568" s="1483"/>
      <c r="J568" s="1483"/>
      <c r="K568" s="1483"/>
      <c r="L568" s="1483"/>
      <c r="M568" s="1483"/>
      <c r="N568" s="1483"/>
      <c r="O568" s="1483"/>
      <c r="P568" s="1483"/>
      <c r="Q568" s="1483"/>
      <c r="R568" s="1483"/>
      <c r="S568" s="8"/>
      <c r="T568" s="55" t="s">
        <v>113</v>
      </c>
      <c r="U568" t="s">
        <v>462</v>
      </c>
      <c r="Z568" s="1483" t="str">
        <f>C555</f>
        <v>Citi Community Capital</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 customHeight="1">
      <c r="A569" s="22"/>
      <c r="B569" t="s">
        <v>85</v>
      </c>
      <c r="G569" s="1407" t="s">
        <v>2664</v>
      </c>
      <c r="H569" s="1407"/>
      <c r="I569" s="1407"/>
      <c r="J569" s="1407"/>
      <c r="K569" s="1407"/>
      <c r="L569" s="1407"/>
      <c r="M569" s="1407"/>
      <c r="N569" s="1407"/>
      <c r="O569" s="1407"/>
      <c r="P569" s="1407"/>
      <c r="Q569" s="1407"/>
      <c r="R569" s="1407"/>
      <c r="S569" s="8"/>
      <c r="T569" s="22"/>
      <c r="U569" t="s">
        <v>85</v>
      </c>
      <c r="Z569" s="1407" t="s">
        <v>2664</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 customHeight="1">
      <c r="A570" s="22"/>
      <c r="B570" t="s">
        <v>579</v>
      </c>
      <c r="G570" s="1407" t="s">
        <v>2665</v>
      </c>
      <c r="H570" s="1407"/>
      <c r="I570" s="1407"/>
      <c r="J570" s="1407"/>
      <c r="K570" s="1407"/>
      <c r="L570" s="1407"/>
      <c r="M570" s="1407"/>
      <c r="N570" s="1407"/>
      <c r="O570" s="1407"/>
      <c r="P570" s="1407"/>
      <c r="Q570" s="1407"/>
      <c r="R570" s="1407"/>
      <c r="T570" s="22"/>
      <c r="U570" t="s">
        <v>579</v>
      </c>
      <c r="Z570" s="1371" t="s">
        <v>2665</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 customHeight="1">
      <c r="A571" s="22"/>
      <c r="B571" t="s">
        <v>17</v>
      </c>
      <c r="G571" s="1407" t="s">
        <v>2666</v>
      </c>
      <c r="H571" s="1407"/>
      <c r="I571" s="1407"/>
      <c r="J571" s="1407"/>
      <c r="K571" s="1407"/>
      <c r="L571" s="1407"/>
      <c r="M571" s="1407"/>
      <c r="N571" s="1407"/>
      <c r="O571" s="1407"/>
      <c r="P571" s="1407"/>
      <c r="Q571" s="1407"/>
      <c r="R571" s="1407"/>
      <c r="S571" s="8"/>
      <c r="T571" s="22"/>
      <c r="U571" t="s">
        <v>17</v>
      </c>
      <c r="Z571" s="1371" t="s">
        <v>2666</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 customHeight="1">
      <c r="A572" s="22"/>
      <c r="B572" t="s">
        <v>315</v>
      </c>
      <c r="G572" s="1487">
        <v>8053688713</v>
      </c>
      <c r="H572" s="1487"/>
      <c r="I572" s="1487"/>
      <c r="J572" s="1487"/>
      <c r="K572" s="1487"/>
      <c r="L572" s="1487"/>
      <c r="O572" s="33" t="s">
        <v>205</v>
      </c>
      <c r="P572" s="1471"/>
      <c r="Q572" s="1471"/>
      <c r="R572" s="1471"/>
      <c r="S572" s="10"/>
      <c r="T572" s="22"/>
      <c r="U572" t="s">
        <v>315</v>
      </c>
      <c r="Z572" s="1487">
        <v>8053688713</v>
      </c>
      <c r="AA572" s="1487"/>
      <c r="AB572" s="1487"/>
      <c r="AC572" s="1487"/>
      <c r="AD572" s="1487"/>
      <c r="AE572" s="1487"/>
      <c r="AH572" s="33" t="s">
        <v>205</v>
      </c>
      <c r="AI572" s="1471"/>
      <c r="AJ572" s="1471"/>
      <c r="AK572" s="1471"/>
      <c r="BB572" s="3"/>
      <c r="BC572" s="3"/>
      <c r="BD572" s="3"/>
      <c r="BE572" s="3"/>
      <c r="BF572" s="3"/>
      <c r="BG572" s="3"/>
      <c r="BH572" s="3"/>
      <c r="BI572" s="3"/>
    </row>
    <row r="573" spans="1:61" ht="12.9" customHeight="1">
      <c r="A573" s="22"/>
      <c r="B573" t="s">
        <v>18</v>
      </c>
      <c r="H573" s="1407" t="s">
        <v>2119</v>
      </c>
      <c r="I573" s="1407"/>
      <c r="J573" s="1407"/>
      <c r="K573" s="1407"/>
      <c r="L573" s="1407"/>
      <c r="M573" s="1407"/>
      <c r="N573" s="1407"/>
      <c r="O573" s="1407"/>
      <c r="P573" s="1407"/>
      <c r="Q573" s="1407"/>
      <c r="R573" s="1407"/>
      <c r="S573" s="8"/>
      <c r="T573" s="22"/>
      <c r="U573" t="s">
        <v>18</v>
      </c>
      <c r="AA573" s="1407" t="s">
        <v>2118</v>
      </c>
      <c r="AB573" s="1407"/>
      <c r="AC573" s="1407"/>
      <c r="AD573" s="1407"/>
      <c r="AE573" s="1407"/>
      <c r="AF573" s="1407"/>
      <c r="AG573" s="1407"/>
      <c r="AH573" s="1407"/>
      <c r="AI573" s="1407"/>
      <c r="AJ573" s="1407"/>
      <c r="AK573" s="1407"/>
      <c r="BB573" s="3"/>
      <c r="BC573" s="3"/>
      <c r="BD573" s="3"/>
      <c r="BE573" s="3"/>
      <c r="BF573" s="3"/>
      <c r="BG573" s="3"/>
      <c r="BH573" s="3"/>
      <c r="BI573" s="3"/>
    </row>
    <row r="574" spans="1:61" ht="12.9" customHeight="1">
      <c r="A574" s="22"/>
      <c r="B574" s="320" t="s">
        <v>1184</v>
      </c>
      <c r="H574" s="8"/>
      <c r="I574" s="8"/>
      <c r="J574" s="8"/>
      <c r="K574" s="8"/>
      <c r="L574" s="8"/>
      <c r="M574" s="1602"/>
      <c r="N574" s="1602"/>
      <c r="O574" s="1602"/>
      <c r="P574" s="1602"/>
      <c r="Q574" s="1602"/>
      <c r="R574" s="1602"/>
      <c r="S574" s="8"/>
      <c r="T574" s="22"/>
      <c r="U574" s="320" t="s">
        <v>1184</v>
      </c>
      <c r="AA574" s="8"/>
      <c r="AB574" s="8"/>
      <c r="AC574" s="8"/>
      <c r="AD574" s="8"/>
      <c r="AE574" s="8"/>
      <c r="AF574" s="1602"/>
      <c r="AG574" s="1602"/>
      <c r="AH574" s="1602"/>
      <c r="AI574" s="1602"/>
      <c r="AJ574" s="1602"/>
      <c r="AK574" s="1602"/>
      <c r="BB574" s="3"/>
      <c r="BC574" s="3"/>
      <c r="BD574" s="3"/>
      <c r="BE574" s="3"/>
      <c r="BF574" s="3"/>
      <c r="BG574" s="3"/>
      <c r="BH574" s="3"/>
      <c r="BI574" s="3"/>
    </row>
    <row r="575" spans="1:61" ht="12.9" customHeight="1">
      <c r="A575" s="22"/>
      <c r="B575" t="s">
        <v>20</v>
      </c>
      <c r="N575" s="1415" t="s">
        <v>544</v>
      </c>
      <c r="O575" s="1415"/>
      <c r="T575" s="22"/>
      <c r="U575" t="s">
        <v>20</v>
      </c>
      <c r="AG575" s="1415" t="s">
        <v>544</v>
      </c>
      <c r="AH575" s="1415"/>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462</v>
      </c>
      <c r="G577" s="1483" t="str">
        <f>C556</f>
        <v>HCD-CDBG-DR MHP</v>
      </c>
      <c r="H577" s="1483"/>
      <c r="I577" s="1483"/>
      <c r="J577" s="1483"/>
      <c r="K577" s="1483"/>
      <c r="L577" s="1483"/>
      <c r="M577" s="1483"/>
      <c r="N577" s="1483"/>
      <c r="O577" s="1483"/>
      <c r="P577" s="1483"/>
      <c r="Q577" s="1483"/>
      <c r="R577" s="1483"/>
      <c r="T577" s="55" t="s">
        <v>580</v>
      </c>
      <c r="U577" t="s">
        <v>462</v>
      </c>
      <c r="Z577" s="1483" t="str">
        <f>C557</f>
        <v>Zen Development LLC</v>
      </c>
      <c r="AA577" s="1483"/>
      <c r="AB577" s="1483"/>
      <c r="AC577" s="1483"/>
      <c r="AD577" s="1483"/>
      <c r="AE577" s="1483"/>
      <c r="AF577" s="1483"/>
      <c r="AG577" s="1483"/>
      <c r="AH577" s="1483"/>
      <c r="AI577" s="1483"/>
      <c r="AJ577" s="1483"/>
      <c r="AK577" s="1483"/>
      <c r="BB577" s="3"/>
      <c r="BC577" s="3"/>
    </row>
    <row r="578" spans="1:55" ht="12.9" customHeight="1">
      <c r="A578" s="22"/>
      <c r="B578" t="s">
        <v>85</v>
      </c>
      <c r="G578" s="1407" t="s">
        <v>2667</v>
      </c>
      <c r="H578" s="1407"/>
      <c r="I578" s="1407"/>
      <c r="J578" s="1407"/>
      <c r="K578" s="1407"/>
      <c r="L578" s="1407"/>
      <c r="M578" s="1407"/>
      <c r="N578" s="1407"/>
      <c r="O578" s="1407"/>
      <c r="P578" s="1407"/>
      <c r="Q578" s="1407"/>
      <c r="R578" s="1407"/>
      <c r="T578" s="22"/>
      <c r="U578" t="s">
        <v>85</v>
      </c>
      <c r="Z578" s="1407" t="s">
        <v>2627</v>
      </c>
      <c r="AA578" s="1407"/>
      <c r="AB578" s="1407"/>
      <c r="AC578" s="1407"/>
      <c r="AD578" s="1407"/>
      <c r="AE578" s="1407"/>
      <c r="AF578" s="1407"/>
      <c r="AG578" s="1407"/>
      <c r="AH578" s="1407"/>
      <c r="AI578" s="1407"/>
      <c r="AJ578" s="1407"/>
      <c r="AK578" s="1407"/>
      <c r="BB578" s="3"/>
      <c r="BC578" s="3"/>
    </row>
    <row r="579" spans="1:55" ht="12.9" customHeight="1">
      <c r="A579" s="22"/>
      <c r="B579" t="s">
        <v>579</v>
      </c>
      <c r="G579" s="1371" t="s">
        <v>2668</v>
      </c>
      <c r="H579" s="1371"/>
      <c r="I579" s="1371"/>
      <c r="J579" s="1371"/>
      <c r="K579" s="1371"/>
      <c r="L579" s="1371"/>
      <c r="M579" s="1371"/>
      <c r="N579" s="1371"/>
      <c r="O579" s="1371"/>
      <c r="P579" s="1371"/>
      <c r="Q579" s="1371"/>
      <c r="R579" s="1371"/>
      <c r="T579" s="22"/>
      <c r="U579" t="s">
        <v>579</v>
      </c>
      <c r="Z579" s="1371" t="s">
        <v>2670</v>
      </c>
      <c r="AA579" s="1371"/>
      <c r="AB579" s="1371"/>
      <c r="AC579" s="1371"/>
      <c r="AD579" s="1371"/>
      <c r="AE579" s="1371"/>
      <c r="AF579" s="1371"/>
      <c r="AG579" s="1371"/>
      <c r="AH579" s="1371"/>
      <c r="AI579" s="1371"/>
      <c r="AJ579" s="1371"/>
      <c r="AK579" s="1371"/>
      <c r="BB579" s="3"/>
      <c r="BC579" s="3"/>
    </row>
    <row r="580" spans="1:55" ht="12.9" customHeight="1">
      <c r="A580" s="22"/>
      <c r="B580" t="s">
        <v>17</v>
      </c>
      <c r="G580" s="1371" t="s">
        <v>2669</v>
      </c>
      <c r="H580" s="1371"/>
      <c r="I580" s="1371"/>
      <c r="J580" s="1371"/>
      <c r="K580" s="1371"/>
      <c r="L580" s="1371"/>
      <c r="M580" s="1371"/>
      <c r="N580" s="1371"/>
      <c r="O580" s="1371"/>
      <c r="P580" s="1371"/>
      <c r="Q580" s="1371"/>
      <c r="R580" s="1371"/>
      <c r="T580" s="22"/>
      <c r="U580" t="s">
        <v>17</v>
      </c>
      <c r="Z580" s="1371" t="s">
        <v>2629</v>
      </c>
      <c r="AA580" s="1371"/>
      <c r="AB580" s="1371"/>
      <c r="AC580" s="1371"/>
      <c r="AD580" s="1371"/>
      <c r="AE580" s="1371"/>
      <c r="AF580" s="1371"/>
      <c r="AG580" s="1371"/>
      <c r="AH580" s="1371"/>
      <c r="AI580" s="1371"/>
      <c r="AJ580" s="1371"/>
      <c r="AK580" s="1371"/>
      <c r="BB580" s="3"/>
      <c r="BC580" s="3"/>
    </row>
    <row r="581" spans="1:55" ht="12.9" customHeight="1">
      <c r="A581" s="22"/>
      <c r="B581" t="s">
        <v>315</v>
      </c>
      <c r="G581" s="1487">
        <v>9169406039</v>
      </c>
      <c r="H581" s="1487"/>
      <c r="I581" s="1487"/>
      <c r="J581" s="1487"/>
      <c r="K581" s="1487"/>
      <c r="L581" s="1487"/>
      <c r="O581" s="33" t="s">
        <v>205</v>
      </c>
      <c r="P581" s="1471"/>
      <c r="Q581" s="1471"/>
      <c r="R581" s="1471"/>
      <c r="T581" s="22"/>
      <c r="U581" t="s">
        <v>315</v>
      </c>
      <c r="Z581" s="1487">
        <v>8186533899</v>
      </c>
      <c r="AA581" s="1487"/>
      <c r="AB581" s="1487"/>
      <c r="AC581" s="1487"/>
      <c r="AD581" s="1487"/>
      <c r="AE581" s="1487"/>
      <c r="AH581" s="33" t="s">
        <v>205</v>
      </c>
      <c r="AI581" s="1471"/>
      <c r="AJ581" s="1471"/>
      <c r="AK581" s="1471"/>
      <c r="BB581" s="3"/>
      <c r="BC581" s="3"/>
    </row>
    <row r="582" spans="1:55" ht="12.9" customHeight="1">
      <c r="A582" s="22"/>
      <c r="B582" t="s">
        <v>18</v>
      </c>
      <c r="H582" s="1407" t="s">
        <v>2115</v>
      </c>
      <c r="I582" s="1407"/>
      <c r="J582" s="1407"/>
      <c r="K582" s="1407"/>
      <c r="L582" s="1407"/>
      <c r="M582" s="1407"/>
      <c r="N582" s="1407"/>
      <c r="O582" s="1407"/>
      <c r="P582" s="1407"/>
      <c r="Q582" s="1407"/>
      <c r="R582" s="1407"/>
      <c r="T582" s="22"/>
      <c r="U582" t="s">
        <v>18</v>
      </c>
      <c r="AA582" s="1407" t="s">
        <v>2671</v>
      </c>
      <c r="AB582" s="1407"/>
      <c r="AC582" s="1407"/>
      <c r="AD582" s="1407"/>
      <c r="AE582" s="1407"/>
      <c r="AF582" s="1407"/>
      <c r="AG582" s="1407"/>
      <c r="AH582" s="1407"/>
      <c r="AI582" s="1407"/>
      <c r="AJ582" s="1407"/>
      <c r="AK582" s="1407"/>
      <c r="BB582" s="3"/>
      <c r="BC582" s="3"/>
    </row>
    <row r="583" spans="1:55" ht="12.9" customHeight="1">
      <c r="A583" s="22"/>
      <c r="B583" t="s">
        <v>20</v>
      </c>
      <c r="N583" s="1415" t="s">
        <v>544</v>
      </c>
      <c r="O583" s="1415"/>
      <c r="T583" s="22"/>
      <c r="U583" t="s">
        <v>20</v>
      </c>
      <c r="AG583" s="1415" t="s">
        <v>544</v>
      </c>
      <c r="AH583" s="1415"/>
      <c r="BB583" s="3"/>
      <c r="BC583" s="3"/>
    </row>
    <row r="584" spans="1:55" ht="12.9" customHeight="1">
      <c r="A584" s="22"/>
      <c r="T584" s="22"/>
      <c r="BB584" s="3"/>
      <c r="BC584" s="3"/>
    </row>
    <row r="585" spans="1:55" ht="12.9" customHeight="1">
      <c r="A585" s="55" t="s">
        <v>762</v>
      </c>
      <c r="B585" t="s">
        <v>462</v>
      </c>
      <c r="G585" s="1483" t="str">
        <f>C558</f>
        <v>CREA</v>
      </c>
      <c r="H585" s="1483"/>
      <c r="I585" s="1483"/>
      <c r="J585" s="1483"/>
      <c r="K585" s="1483"/>
      <c r="L585" s="1483"/>
      <c r="M585" s="1483"/>
      <c r="N585" s="1483"/>
      <c r="O585" s="1483"/>
      <c r="P585" s="1483"/>
      <c r="Q585" s="1483"/>
      <c r="R585" s="1483"/>
      <c r="T585" s="55" t="s">
        <v>583</v>
      </c>
      <c r="U585" t="s">
        <v>462</v>
      </c>
      <c r="Z585" s="1483">
        <f>C559</f>
        <v>0</v>
      </c>
      <c r="AA585" s="1483"/>
      <c r="AB585" s="1483"/>
      <c r="AC585" s="1483"/>
      <c r="AD585" s="1483"/>
      <c r="AE585" s="1483"/>
      <c r="AF585" s="1483"/>
      <c r="AG585" s="1483"/>
      <c r="AH585" s="1483"/>
      <c r="AI585" s="1483"/>
      <c r="AJ585" s="1483"/>
      <c r="AK585" s="1483"/>
      <c r="BB585" s="3"/>
      <c r="BC585" s="3"/>
    </row>
    <row r="586" spans="1:55" ht="12.9" customHeight="1">
      <c r="A586" s="22"/>
      <c r="B586" t="s">
        <v>85</v>
      </c>
      <c r="G586" s="1407" t="s">
        <v>2694</v>
      </c>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2.9" customHeight="1">
      <c r="A587" s="22"/>
      <c r="B587" t="s">
        <v>579</v>
      </c>
      <c r="G587" s="1407" t="s">
        <v>2695</v>
      </c>
      <c r="H587" s="1407"/>
      <c r="I587" s="1407"/>
      <c r="J587" s="1407"/>
      <c r="K587" s="1407"/>
      <c r="L587" s="1407"/>
      <c r="M587" s="1407"/>
      <c r="N587" s="1407"/>
      <c r="O587" s="1407"/>
      <c r="P587" s="1407"/>
      <c r="Q587" s="1407"/>
      <c r="R587" s="1407"/>
      <c r="T587" s="22"/>
      <c r="U587" t="s">
        <v>579</v>
      </c>
      <c r="Z587" s="1371"/>
      <c r="AA587" s="1371"/>
      <c r="AB587" s="1371"/>
      <c r="AC587" s="1371"/>
      <c r="AD587" s="1371"/>
      <c r="AE587" s="1371"/>
      <c r="AF587" s="1371"/>
      <c r="AG587" s="1371"/>
      <c r="AH587" s="1371"/>
      <c r="AI587" s="1371"/>
      <c r="AJ587" s="1371"/>
      <c r="AK587" s="1371"/>
      <c r="BB587" s="3"/>
      <c r="BC587" s="3"/>
    </row>
    <row r="588" spans="1:55" ht="12.9" customHeight="1">
      <c r="A588" s="22"/>
      <c r="B588" t="s">
        <v>17</v>
      </c>
      <c r="G588" s="1407" t="s">
        <v>2696</v>
      </c>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2.9" customHeight="1">
      <c r="A589" s="22"/>
      <c r="B589" t="s">
        <v>315</v>
      </c>
      <c r="G589" s="1487">
        <v>8583865198</v>
      </c>
      <c r="H589" s="1487"/>
      <c r="I589" s="1487"/>
      <c r="J589" s="1487"/>
      <c r="K589" s="1487"/>
      <c r="L589" s="1487"/>
      <c r="O589" s="33" t="s">
        <v>205</v>
      </c>
      <c r="P589" s="1471"/>
      <c r="Q589" s="1471"/>
      <c r="R589" s="1471"/>
      <c r="T589" s="22"/>
      <c r="U589" t="s">
        <v>315</v>
      </c>
      <c r="Z589" s="1487"/>
      <c r="AA589" s="1487"/>
      <c r="AB589" s="1487"/>
      <c r="AC589" s="1487"/>
      <c r="AD589" s="1487"/>
      <c r="AE589" s="1487"/>
      <c r="AH589" s="33" t="s">
        <v>205</v>
      </c>
      <c r="AI589" s="1471"/>
      <c r="AJ589" s="1471"/>
      <c r="AK589" s="1471"/>
      <c r="AZ589" s="3"/>
      <c r="BA589" s="3"/>
      <c r="BB589" s="3"/>
      <c r="BC589" s="3"/>
    </row>
    <row r="590" spans="1:55" ht="12.9" customHeight="1">
      <c r="A590" s="22"/>
      <c r="B590" t="s">
        <v>18</v>
      </c>
      <c r="H590" s="1407" t="s">
        <v>2110</v>
      </c>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 customHeight="1">
      <c r="A591" s="22"/>
      <c r="B591" t="s">
        <v>20</v>
      </c>
      <c r="N591" s="1415" t="s">
        <v>544</v>
      </c>
      <c r="O591" s="1415"/>
      <c r="T591" s="22"/>
      <c r="U591" t="s">
        <v>20</v>
      </c>
      <c r="AG591" s="1415" t="s">
        <v>668</v>
      </c>
      <c r="AH591" s="1415"/>
      <c r="AZ591" s="3"/>
      <c r="BA591" s="3"/>
      <c r="BB591" s="3"/>
      <c r="BC591" s="3"/>
    </row>
    <row r="592" spans="1:55" ht="12.9" customHeight="1">
      <c r="A592" s="22"/>
      <c r="T592" s="22"/>
      <c r="AZ592" s="3"/>
      <c r="BA592" s="3"/>
      <c r="BB592" s="3"/>
      <c r="BC592" s="3"/>
    </row>
    <row r="593" spans="1:55" ht="12.9" customHeight="1">
      <c r="A593" s="55" t="s">
        <v>454</v>
      </c>
      <c r="B593" t="s">
        <v>462</v>
      </c>
      <c r="G593" s="1483">
        <f>C560</f>
        <v>0</v>
      </c>
      <c r="H593" s="1483"/>
      <c r="I593" s="1483"/>
      <c r="J593" s="1483"/>
      <c r="K593" s="1483"/>
      <c r="L593" s="1483"/>
      <c r="M593" s="1483"/>
      <c r="N593" s="1483"/>
      <c r="O593" s="1483"/>
      <c r="P593" s="1483"/>
      <c r="Q593" s="1483"/>
      <c r="R593" s="1483"/>
      <c r="T593" s="55" t="s">
        <v>455</v>
      </c>
      <c r="U593" t="s">
        <v>462</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 customHeight="1">
      <c r="A595" s="22"/>
      <c r="B595" t="s">
        <v>579</v>
      </c>
      <c r="C595"/>
      <c r="D595"/>
      <c r="E595"/>
      <c r="F595"/>
      <c r="G595" s="1407"/>
      <c r="H595" s="1407"/>
      <c r="I595" s="1407"/>
      <c r="J595" s="1407"/>
      <c r="K595" s="1407"/>
      <c r="L595" s="1407"/>
      <c r="M595" s="1407"/>
      <c r="N595" s="1407"/>
      <c r="O595" s="1407"/>
      <c r="P595" s="1407"/>
      <c r="Q595" s="1407"/>
      <c r="R595" s="1407"/>
      <c r="S595"/>
      <c r="T595" s="22"/>
      <c r="U595" t="s">
        <v>579</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87"/>
      <c r="H597" s="1487"/>
      <c r="I597" s="1487"/>
      <c r="J597" s="1487"/>
      <c r="K597" s="1487"/>
      <c r="L597" s="1487"/>
      <c r="M597"/>
      <c r="N597"/>
      <c r="O597" s="33" t="s">
        <v>205</v>
      </c>
      <c r="P597" s="1471"/>
      <c r="Q597" s="1471"/>
      <c r="R597" s="1471"/>
      <c r="S597"/>
      <c r="T597" s="22"/>
      <c r="U597" t="s">
        <v>315</v>
      </c>
      <c r="V597"/>
      <c r="W597"/>
      <c r="X597"/>
      <c r="Y597"/>
      <c r="Z597" s="1487"/>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 customHeight="1">
      <c r="A599" s="22"/>
      <c r="B599" t="s">
        <v>20</v>
      </c>
      <c r="N599" s="1415" t="s">
        <v>668</v>
      </c>
      <c r="O599" s="1415"/>
      <c r="T599" s="22"/>
      <c r="U599" t="s">
        <v>20</v>
      </c>
      <c r="AG599" s="1415" t="s">
        <v>668</v>
      </c>
      <c r="AH599" s="1415"/>
      <c r="BB599" s="3"/>
      <c r="BC599" s="3"/>
    </row>
    <row r="600" spans="1:55" ht="12.9" customHeight="1">
      <c r="A600" s="22"/>
      <c r="T600" s="22"/>
      <c r="BB600" s="3"/>
      <c r="BC600" s="3"/>
    </row>
    <row r="601" spans="1:55" ht="12.9" customHeight="1">
      <c r="A601" s="55" t="s">
        <v>460</v>
      </c>
      <c r="B601" t="s">
        <v>462</v>
      </c>
      <c r="G601" s="1483">
        <f>C562</f>
        <v>0</v>
      </c>
      <c r="H601" s="1483"/>
      <c r="I601" s="1483"/>
      <c r="J601" s="1483"/>
      <c r="K601" s="1483"/>
      <c r="L601" s="1483"/>
      <c r="M601" s="1483"/>
      <c r="N601" s="1483"/>
      <c r="O601" s="1483"/>
      <c r="P601" s="1483"/>
      <c r="Q601" s="1483"/>
      <c r="R601" s="1483"/>
      <c r="T601" s="55" t="s">
        <v>645</v>
      </c>
      <c r="U601" t="s">
        <v>462</v>
      </c>
      <c r="Z601" s="1483">
        <f>C563</f>
        <v>0</v>
      </c>
      <c r="AA601" s="1483"/>
      <c r="AB601" s="1483"/>
      <c r="AC601" s="1483"/>
      <c r="AD601" s="1483"/>
      <c r="AE601" s="1483"/>
      <c r="AF601" s="1483"/>
      <c r="AG601" s="1483"/>
      <c r="AH601" s="1483"/>
      <c r="AI601" s="1483"/>
      <c r="AJ601" s="1483"/>
      <c r="AK601" s="1483"/>
      <c r="BB601" s="3"/>
      <c r="BC601" s="3"/>
    </row>
    <row r="602" spans="1:55" ht="12.9"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 customHeight="1">
      <c r="A603" s="22"/>
      <c r="B603" t="s">
        <v>579</v>
      </c>
      <c r="G603" s="1407"/>
      <c r="H603" s="1407"/>
      <c r="I603" s="1407"/>
      <c r="J603" s="1407"/>
      <c r="K603" s="1407"/>
      <c r="L603" s="1407"/>
      <c r="M603" s="1407"/>
      <c r="N603" s="1407"/>
      <c r="O603" s="1407"/>
      <c r="P603" s="1407"/>
      <c r="Q603" s="1407"/>
      <c r="R603" s="1407"/>
      <c r="T603" s="22"/>
      <c r="U603" t="s">
        <v>579</v>
      </c>
      <c r="Z603" s="1371"/>
      <c r="AA603" s="1371"/>
      <c r="AB603" s="1371"/>
      <c r="AC603" s="1371"/>
      <c r="AD603" s="1371"/>
      <c r="AE603" s="1371"/>
      <c r="AF603" s="1371"/>
      <c r="AG603" s="1371"/>
      <c r="AH603" s="1371"/>
      <c r="AI603" s="1371"/>
      <c r="AJ603" s="1371"/>
      <c r="AK603" s="1371"/>
      <c r="AZ603" s="3"/>
      <c r="BA603" s="3"/>
      <c r="BB603" s="3"/>
      <c r="BC603" s="3"/>
    </row>
    <row r="604" spans="1:55" ht="12.9"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 customHeight="1">
      <c r="A605" s="22"/>
      <c r="B605" t="s">
        <v>315</v>
      </c>
      <c r="C605"/>
      <c r="D605"/>
      <c r="E605"/>
      <c r="F605"/>
      <c r="G605" s="1487"/>
      <c r="H605" s="1487"/>
      <c r="I605" s="1487"/>
      <c r="J605" s="1487"/>
      <c r="K605" s="1487"/>
      <c r="L605" s="1487"/>
      <c r="M605"/>
      <c r="N605"/>
      <c r="O605" s="33" t="s">
        <v>205</v>
      </c>
      <c r="P605" s="1471"/>
      <c r="Q605" s="1471"/>
      <c r="R605" s="1471"/>
      <c r="S605"/>
      <c r="T605" s="22"/>
      <c r="U605" t="s">
        <v>315</v>
      </c>
      <c r="V605"/>
      <c r="W605"/>
      <c r="X605"/>
      <c r="Y605"/>
      <c r="Z605" s="1487"/>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5" t="s">
        <v>668</v>
      </c>
      <c r="O607" s="1415"/>
      <c r="P607"/>
      <c r="Q607"/>
      <c r="R607"/>
      <c r="S607"/>
      <c r="T607" s="22"/>
      <c r="U607" t="s">
        <v>20</v>
      </c>
      <c r="V607"/>
      <c r="W607"/>
      <c r="X607"/>
      <c r="Y607"/>
      <c r="Z607"/>
      <c r="AA607"/>
      <c r="AB607"/>
      <c r="AC607"/>
      <c r="AD607"/>
      <c r="AE607"/>
      <c r="AF607"/>
      <c r="AG607" s="1415" t="s">
        <v>668</v>
      </c>
      <c r="AH607" s="1415"/>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462</v>
      </c>
      <c r="G609" s="1483">
        <f>C564</f>
        <v>0</v>
      </c>
      <c r="H609" s="1483"/>
      <c r="I609" s="1483"/>
      <c r="J609" s="1483"/>
      <c r="K609" s="1483"/>
      <c r="L609" s="1483"/>
      <c r="M609" s="1483"/>
      <c r="N609" s="1483"/>
      <c r="O609" s="1483"/>
      <c r="P609" s="1483"/>
      <c r="Q609" s="1483"/>
      <c r="R609" s="1483"/>
      <c r="T609" s="55" t="s">
        <v>362</v>
      </c>
      <c r="U609" t="s">
        <v>462</v>
      </c>
      <c r="Z609" s="1483">
        <f>C565</f>
        <v>0</v>
      </c>
      <c r="AA609" s="1483"/>
      <c r="AB609" s="1483"/>
      <c r="AC609" s="1483"/>
      <c r="AD609" s="1483"/>
      <c r="AE609" s="1483"/>
      <c r="AF609" s="1483"/>
      <c r="AG609" s="1483"/>
      <c r="AH609" s="1483"/>
      <c r="AI609" s="1483"/>
      <c r="AJ609" s="1483"/>
      <c r="AK609" s="1483"/>
      <c r="AZ609" s="3"/>
      <c r="BA609" s="3"/>
      <c r="BB609" s="3"/>
      <c r="BC609" s="3"/>
    </row>
    <row r="610" spans="1:55" ht="12.9"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 customHeight="1">
      <c r="B611" t="s">
        <v>579</v>
      </c>
      <c r="G611" s="1407"/>
      <c r="H611" s="1407"/>
      <c r="I611" s="1407"/>
      <c r="J611" s="1407"/>
      <c r="K611" s="1407"/>
      <c r="L611" s="1407"/>
      <c r="M611" s="1407"/>
      <c r="N611" s="1407"/>
      <c r="O611" s="1407"/>
      <c r="P611" s="1407"/>
      <c r="Q611" s="1407"/>
      <c r="R611" s="1407"/>
      <c r="U611" t="s">
        <v>579</v>
      </c>
      <c r="Z611" s="1371"/>
      <c r="AA611" s="1371"/>
      <c r="AB611" s="1371"/>
      <c r="AC611" s="1371"/>
      <c r="AD611" s="1371"/>
      <c r="AE611" s="1371"/>
      <c r="AF611" s="1371"/>
      <c r="AG611" s="1371"/>
      <c r="AH611" s="1371"/>
      <c r="AI611" s="1371"/>
      <c r="AJ611" s="1371"/>
      <c r="AK611" s="1371"/>
      <c r="AZ611" s="3"/>
      <c r="BA611" s="3"/>
      <c r="BB611" s="3"/>
      <c r="BC611" s="3"/>
    </row>
    <row r="612" spans="1:55" ht="12.9"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 customHeight="1">
      <c r="B613" t="s">
        <v>315</v>
      </c>
      <c r="G613" s="1487"/>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2.9"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 customHeight="1">
      <c r="B615" t="s">
        <v>20</v>
      </c>
      <c r="N615" s="1415" t="s">
        <v>668</v>
      </c>
      <c r="O615" s="1415"/>
      <c r="U615" t="s">
        <v>20</v>
      </c>
      <c r="AG615" s="1415" t="s">
        <v>668</v>
      </c>
      <c r="AH615" s="1415"/>
      <c r="AU615" s="899"/>
      <c r="AV615" s="899"/>
      <c r="AW615" s="899"/>
      <c r="AX615" s="899"/>
      <c r="AY615" s="899"/>
      <c r="AZ615" s="3"/>
      <c r="BA615" s="3"/>
      <c r="BB615" s="3"/>
      <c r="BC615" s="3"/>
    </row>
    <row r="616" spans="1:55" ht="12.9" customHeight="1">
      <c r="AZ616" s="3"/>
      <c r="BA616" s="3"/>
      <c r="BB616" s="3"/>
      <c r="BC616" s="3"/>
    </row>
    <row r="617" spans="1:55" ht="12.9"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2"/>
      <c r="C623" s="2"/>
      <c r="AU623" s="3"/>
      <c r="AZ623" s="3"/>
      <c r="BA623" s="3"/>
      <c r="BB623" s="3"/>
      <c r="BC623" s="3"/>
    </row>
    <row r="624" spans="1:55" ht="12.9" customHeight="1">
      <c r="B624" s="1672" t="s">
        <v>2102</v>
      </c>
      <c r="C624" s="1672"/>
      <c r="D624" s="1672"/>
      <c r="E624" s="1672"/>
      <c r="F624" s="1672"/>
      <c r="G624" s="1672"/>
      <c r="H624" s="1672"/>
      <c r="I624" s="1672"/>
      <c r="J624" s="1672"/>
      <c r="K624" s="1672"/>
      <c r="L624" s="1672"/>
      <c r="M624" s="1677" t="s">
        <v>2103</v>
      </c>
      <c r="N624" s="1677"/>
      <c r="O624" s="1677"/>
      <c r="P624" s="1677"/>
      <c r="Q624" s="1677" t="s">
        <v>1852</v>
      </c>
      <c r="R624" s="1677"/>
      <c r="S624" s="1677"/>
      <c r="T624" s="1677" t="s">
        <v>1850</v>
      </c>
      <c r="U624" s="1677"/>
      <c r="V624" s="1677"/>
      <c r="W624" s="1673" t="s">
        <v>452</v>
      </c>
      <c r="X624" s="1673"/>
      <c r="Y624" s="1673"/>
      <c r="Z624" s="1397" t="s">
        <v>2132</v>
      </c>
      <c r="AA624" s="1397"/>
      <c r="AB624" s="1398"/>
      <c r="AC624" s="1678" t="s">
        <v>1675</v>
      </c>
      <c r="AD624" s="1679"/>
      <c r="AE624" s="1680"/>
      <c r="AF624" s="1396" t="s">
        <v>1930</v>
      </c>
      <c r="AG624" s="1397"/>
      <c r="AH624" s="1397"/>
      <c r="AI624" s="1397"/>
      <c r="AJ624" s="1398"/>
      <c r="AK624" s="1593" t="s">
        <v>1931</v>
      </c>
      <c r="AL624" s="1594"/>
      <c r="AM624" s="1594"/>
      <c r="AN624" s="1595"/>
      <c r="AO624" s="1677" t="s">
        <v>453</v>
      </c>
      <c r="AP624" s="1677"/>
      <c r="AQ624" s="1677"/>
      <c r="AR624" s="1677"/>
      <c r="AS624" s="1677"/>
      <c r="AU624" s="3"/>
      <c r="AZ624" s="3"/>
      <c r="BA624" s="3"/>
      <c r="BB624" s="3"/>
      <c r="BC624" s="3"/>
    </row>
    <row r="625" spans="2:157" ht="12.9"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0"/>
      <c r="AA625" s="1400"/>
      <c r="AB625" s="1401"/>
      <c r="AC625" s="1681"/>
      <c r="AD625" s="1682"/>
      <c r="AE625" s="1683"/>
      <c r="AF625" s="1399"/>
      <c r="AG625" s="1400"/>
      <c r="AH625" s="1400"/>
      <c r="AI625" s="1400"/>
      <c r="AJ625" s="1401"/>
      <c r="AK625" s="1596"/>
      <c r="AL625" s="1597"/>
      <c r="AM625" s="1597"/>
      <c r="AN625" s="1598"/>
      <c r="AO625" s="1677"/>
      <c r="AP625" s="1677"/>
      <c r="AQ625" s="1677"/>
      <c r="AR625" s="1677"/>
      <c r="AS625" s="1677"/>
      <c r="AU625" s="3"/>
      <c r="AZ625" s="3"/>
      <c r="BA625" s="3"/>
      <c r="BB625" s="3"/>
      <c r="BC625" s="3"/>
      <c r="BD625" s="3"/>
    </row>
    <row r="626" spans="2:157" ht="12.9"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3"/>
      <c r="AA626" s="1403"/>
      <c r="AB626" s="1404"/>
      <c r="AC626" s="1684"/>
      <c r="AD626" s="1685"/>
      <c r="AE626" s="1686"/>
      <c r="AF626" s="1402"/>
      <c r="AG626" s="1403"/>
      <c r="AH626" s="1403"/>
      <c r="AI626" s="1403"/>
      <c r="AJ626" s="1404"/>
      <c r="AK626" s="1599"/>
      <c r="AL626" s="1600"/>
      <c r="AM626" s="1600"/>
      <c r="AN626" s="1601"/>
      <c r="AO626" s="1677"/>
      <c r="AP626" s="1677"/>
      <c r="AQ626" s="1677"/>
      <c r="AR626" s="1677"/>
      <c r="AS626" s="1677"/>
      <c r="AT626" s="3"/>
      <c r="AU626" s="3"/>
      <c r="AZ626" s="3"/>
      <c r="BA626" s="3"/>
      <c r="BB626" s="3"/>
      <c r="BC626" s="3"/>
      <c r="BD626" s="3"/>
    </row>
    <row r="627" spans="2:157" ht="12.9" customHeight="1">
      <c r="B627" s="51" t="s">
        <v>112</v>
      </c>
      <c r="C627" s="1479" t="s">
        <v>2703</v>
      </c>
      <c r="D627" s="1479"/>
      <c r="E627" s="1479"/>
      <c r="F627" s="1479"/>
      <c r="G627" s="1479"/>
      <c r="H627" s="1479"/>
      <c r="I627" s="1479"/>
      <c r="J627" s="1479"/>
      <c r="K627" s="1479"/>
      <c r="L627" s="1479"/>
      <c r="M627" s="1493" t="s">
        <v>2113</v>
      </c>
      <c r="N627" s="1493"/>
      <c r="O627" s="1493"/>
      <c r="P627" s="1493"/>
      <c r="Q627" s="1509">
        <f>17*12</f>
        <v>204</v>
      </c>
      <c r="R627" s="1509"/>
      <c r="S627" s="1510"/>
      <c r="T627" s="1508">
        <f>40*12</f>
        <v>480</v>
      </c>
      <c r="U627" s="1509"/>
      <c r="V627" s="1510"/>
      <c r="W627" s="1480">
        <v>6.6299999999999998E-2</v>
      </c>
      <c r="X627" s="1481"/>
      <c r="Y627" s="1482"/>
      <c r="Z627" s="1476" t="s">
        <v>2131</v>
      </c>
      <c r="AA627" s="1477"/>
      <c r="AB627" s="1478"/>
      <c r="AC627" s="1381">
        <v>1</v>
      </c>
      <c r="AD627" s="1382"/>
      <c r="AE627" s="1383"/>
      <c r="AF627" s="1490">
        <f>-PMT(W627/12,T627,AO627)*12</f>
        <v>1486606.7612407445</v>
      </c>
      <c r="AG627" s="1491"/>
      <c r="AH627" s="1491"/>
      <c r="AI627" s="1491"/>
      <c r="AJ627" s="1492"/>
      <c r="AK627" s="1484"/>
      <c r="AL627" s="1485"/>
      <c r="AM627" s="1485"/>
      <c r="AN627" s="1486"/>
      <c r="AO627" s="1641">
        <v>20829836</v>
      </c>
      <c r="AP627" s="1641"/>
      <c r="AQ627" s="1641"/>
      <c r="AR627" s="1641"/>
      <c r="AS627" s="1641"/>
      <c r="AT627" s="3"/>
      <c r="AU627" s="3"/>
      <c r="AZ627" s="3"/>
      <c r="BA627" s="3"/>
      <c r="BB627" s="3"/>
      <c r="BC627" s="3"/>
      <c r="BD627" s="3"/>
    </row>
    <row r="628" spans="2:157" ht="12.9" customHeight="1">
      <c r="B628" s="52" t="s">
        <v>113</v>
      </c>
      <c r="C628" s="1479" t="s">
        <v>2702</v>
      </c>
      <c r="D628" s="1479"/>
      <c r="E628" s="1479"/>
      <c r="F628" s="1479"/>
      <c r="G628" s="1479"/>
      <c r="H628" s="1479"/>
      <c r="I628" s="1479"/>
      <c r="J628" s="1479"/>
      <c r="K628" s="1479"/>
      <c r="L628" s="1479"/>
      <c r="M628" s="1493" t="s">
        <v>2115</v>
      </c>
      <c r="N628" s="1493"/>
      <c r="O628" s="1493"/>
      <c r="P628" s="1493"/>
      <c r="Q628" s="1508">
        <f>55*12</f>
        <v>660</v>
      </c>
      <c r="R628" s="1509"/>
      <c r="S628" s="1510"/>
      <c r="T628" s="1508"/>
      <c r="U628" s="1509"/>
      <c r="V628" s="1510"/>
      <c r="W628" s="1480">
        <v>0.03</v>
      </c>
      <c r="X628" s="1481"/>
      <c r="Y628" s="1482"/>
      <c r="Z628" s="1476" t="s">
        <v>456</v>
      </c>
      <c r="AA628" s="1477"/>
      <c r="AB628" s="1478"/>
      <c r="AC628" s="1381">
        <v>2</v>
      </c>
      <c r="AD628" s="1382"/>
      <c r="AE628" s="1383"/>
      <c r="AF628" s="1490">
        <f>AO628*0.42%</f>
        <v>112477.81019999999</v>
      </c>
      <c r="AG628" s="1491"/>
      <c r="AH628" s="1491"/>
      <c r="AI628" s="1491"/>
      <c r="AJ628" s="1492"/>
      <c r="AK628" s="1484"/>
      <c r="AL628" s="1485"/>
      <c r="AM628" s="1485"/>
      <c r="AN628" s="1486"/>
      <c r="AO628" s="1475">
        <v>26780431</v>
      </c>
      <c r="AP628" s="1338"/>
      <c r="AQ628" s="1338"/>
      <c r="AR628" s="1338"/>
      <c r="AS628" s="1339"/>
      <c r="AT628" s="1148" t="str">
        <f>IF(AND(NOT(C627=""),C628="",NOT(C629="")),"!","")</f>
        <v/>
      </c>
      <c r="AU628" s="3"/>
      <c r="AZ628" s="3"/>
      <c r="BA628" s="3"/>
      <c r="BB628" s="3"/>
      <c r="BC628" s="3"/>
      <c r="BD628" s="3"/>
    </row>
    <row r="629" spans="2:157" ht="12.9" customHeight="1">
      <c r="B629" s="52" t="s">
        <v>119</v>
      </c>
      <c r="C629" s="1479" t="s">
        <v>2625</v>
      </c>
      <c r="D629" s="1479"/>
      <c r="E629" s="1479"/>
      <c r="F629" s="1479"/>
      <c r="G629" s="1479"/>
      <c r="H629" s="1479"/>
      <c r="I629" s="1479"/>
      <c r="J629" s="1479"/>
      <c r="K629" s="1479"/>
      <c r="L629" s="1479"/>
      <c r="M629" s="1493" t="s">
        <v>2106</v>
      </c>
      <c r="N629" s="1493"/>
      <c r="O629" s="1493"/>
      <c r="P629" s="1493"/>
      <c r="Q629" s="1508"/>
      <c r="R629" s="1509"/>
      <c r="S629" s="1510"/>
      <c r="T629" s="1508"/>
      <c r="U629" s="1509"/>
      <c r="V629" s="1510"/>
      <c r="W629" s="1480"/>
      <c r="X629" s="1481"/>
      <c r="Y629" s="1482"/>
      <c r="Z629" s="1476" t="s">
        <v>457</v>
      </c>
      <c r="AA629" s="1477"/>
      <c r="AB629" s="1478"/>
      <c r="AC629" s="1381"/>
      <c r="AD629" s="1382"/>
      <c r="AE629" s="1383"/>
      <c r="AF629" s="1490"/>
      <c r="AG629" s="1491"/>
      <c r="AH629" s="1491"/>
      <c r="AI629" s="1491"/>
      <c r="AJ629" s="1492"/>
      <c r="AK629" s="1484"/>
      <c r="AL629" s="1485"/>
      <c r="AM629" s="1485"/>
      <c r="AN629" s="1486"/>
      <c r="AO629" s="1475">
        <v>7822552</v>
      </c>
      <c r="AP629" s="1338"/>
      <c r="AQ629" s="1338"/>
      <c r="AR629" s="1338"/>
      <c r="AS629" s="1339"/>
      <c r="AT629" s="1148" t="str">
        <f t="shared" ref="AT629:AT638" si="1">IF(AND(NOT(C628=""),C629="",NOT(C630="")),"!","")</f>
        <v/>
      </c>
      <c r="AU629" s="3"/>
      <c r="AZ629" s="3"/>
      <c r="BA629" s="3"/>
      <c r="BB629" s="3"/>
      <c r="BC629" s="3"/>
      <c r="BD629" s="3"/>
    </row>
    <row r="630" spans="2:157" ht="12.9" customHeight="1">
      <c r="B630" s="52" t="s">
        <v>580</v>
      </c>
      <c r="C630" s="1489"/>
      <c r="D630" s="1489"/>
      <c r="E630" s="1489"/>
      <c r="F630" s="1489"/>
      <c r="G630" s="1489"/>
      <c r="H630" s="1489"/>
      <c r="I630" s="1489"/>
      <c r="J630" s="1489"/>
      <c r="K630" s="1489"/>
      <c r="L630" s="1489"/>
      <c r="M630" s="1493" t="s">
        <v>1183</v>
      </c>
      <c r="N630" s="1493"/>
      <c r="O630" s="1493"/>
      <c r="P630" s="1493"/>
      <c r="Q630" s="1508"/>
      <c r="R630" s="1509"/>
      <c r="S630" s="1510"/>
      <c r="T630" s="1508"/>
      <c r="U630" s="1509"/>
      <c r="V630" s="1510"/>
      <c r="W630" s="1480"/>
      <c r="X630" s="1481"/>
      <c r="Y630" s="1482"/>
      <c r="Z630" s="1476" t="s">
        <v>1183</v>
      </c>
      <c r="AA630" s="1477"/>
      <c r="AB630" s="1478"/>
      <c r="AC630" s="1381"/>
      <c r="AD630" s="1382"/>
      <c r="AE630" s="1383"/>
      <c r="AF630" s="1490"/>
      <c r="AG630" s="1491"/>
      <c r="AH630" s="1491"/>
      <c r="AI630" s="1491"/>
      <c r="AJ630" s="1492"/>
      <c r="AK630" s="1484"/>
      <c r="AL630" s="1485"/>
      <c r="AM630" s="1485"/>
      <c r="AN630" s="1486"/>
      <c r="AO630" s="1475"/>
      <c r="AP630" s="1338"/>
      <c r="AQ630" s="1338"/>
      <c r="AR630" s="1338"/>
      <c r="AS630" s="1339"/>
      <c r="AT630" s="1148" t="str">
        <f t="shared" si="1"/>
        <v/>
      </c>
      <c r="AU630" s="3"/>
      <c r="AZ630" s="3"/>
      <c r="BA630" s="3"/>
      <c r="BB630" s="3"/>
      <c r="BC630" s="3"/>
      <c r="BD630" s="3"/>
    </row>
    <row r="631" spans="2:157" ht="12.9" customHeight="1">
      <c r="B631" s="52" t="s">
        <v>762</v>
      </c>
      <c r="C631" s="1489"/>
      <c r="D631" s="1489"/>
      <c r="E631" s="1489"/>
      <c r="F631" s="1489"/>
      <c r="G631" s="1489"/>
      <c r="H631" s="1489"/>
      <c r="I631" s="1489"/>
      <c r="J631" s="1489"/>
      <c r="K631" s="1489"/>
      <c r="L631" s="1489"/>
      <c r="M631" s="1493" t="s">
        <v>1183</v>
      </c>
      <c r="N631" s="1493"/>
      <c r="O631" s="1493"/>
      <c r="P631" s="1493"/>
      <c r="Q631" s="1508"/>
      <c r="R631" s="1509"/>
      <c r="S631" s="1510"/>
      <c r="T631" s="1508"/>
      <c r="U631" s="1509"/>
      <c r="V631" s="1510"/>
      <c r="W631" s="1480"/>
      <c r="X631" s="1481"/>
      <c r="Y631" s="1482"/>
      <c r="Z631" s="1476" t="s">
        <v>1183</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2.9" customHeight="1">
      <c r="B632" s="52" t="s">
        <v>583</v>
      </c>
      <c r="C632" s="1489"/>
      <c r="D632" s="1489"/>
      <c r="E632" s="1489"/>
      <c r="F632" s="1489"/>
      <c r="G632" s="1489"/>
      <c r="H632" s="1489"/>
      <c r="I632" s="1489"/>
      <c r="J632" s="1489"/>
      <c r="K632" s="1489"/>
      <c r="L632" s="1489"/>
      <c r="M632" s="1493" t="s">
        <v>1183</v>
      </c>
      <c r="N632" s="1493"/>
      <c r="O632" s="1493"/>
      <c r="P632" s="1493"/>
      <c r="Q632" s="1508"/>
      <c r="R632" s="1509"/>
      <c r="S632" s="1510"/>
      <c r="T632" s="1508"/>
      <c r="U632" s="1509"/>
      <c r="V632" s="1510"/>
      <c r="W632" s="1480"/>
      <c r="X632" s="1481"/>
      <c r="Y632" s="1482"/>
      <c r="Z632" s="1476" t="s">
        <v>1183</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 customHeight="1">
      <c r="B633" s="52" t="s">
        <v>454</v>
      </c>
      <c r="C633" s="1489"/>
      <c r="D633" s="1489"/>
      <c r="E633" s="1489"/>
      <c r="F633" s="1489"/>
      <c r="G633" s="1489"/>
      <c r="H633" s="1489"/>
      <c r="I633" s="1489"/>
      <c r="J633" s="1489"/>
      <c r="K633" s="1489"/>
      <c r="L633" s="1489"/>
      <c r="M633" s="1493" t="s">
        <v>1183</v>
      </c>
      <c r="N633" s="1493"/>
      <c r="O633" s="1493"/>
      <c r="P633" s="1493"/>
      <c r="Q633" s="1508"/>
      <c r="R633" s="1509"/>
      <c r="S633" s="1510"/>
      <c r="T633" s="1508"/>
      <c r="U633" s="1509"/>
      <c r="V633" s="1510"/>
      <c r="W633" s="1480"/>
      <c r="X633" s="1481"/>
      <c r="Y633" s="1482"/>
      <c r="Z633" s="1476" t="s">
        <v>1183</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 customHeight="1">
      <c r="B634" s="52" t="s">
        <v>455</v>
      </c>
      <c r="C634" s="1489"/>
      <c r="D634" s="1489"/>
      <c r="E634" s="1489"/>
      <c r="F634" s="1489"/>
      <c r="G634" s="1489"/>
      <c r="H634" s="1489"/>
      <c r="I634" s="1489"/>
      <c r="J634" s="1489"/>
      <c r="K634" s="1489"/>
      <c r="L634" s="1489"/>
      <c r="M634" s="1493" t="s">
        <v>1183</v>
      </c>
      <c r="N634" s="1493"/>
      <c r="O634" s="1493"/>
      <c r="P634" s="1493"/>
      <c r="Q634" s="1508"/>
      <c r="R634" s="1509"/>
      <c r="S634" s="1510"/>
      <c r="T634" s="1508"/>
      <c r="U634" s="1509"/>
      <c r="V634" s="1510"/>
      <c r="W634" s="1480"/>
      <c r="X634" s="1481"/>
      <c r="Y634" s="1482"/>
      <c r="Z634" s="1476" t="s">
        <v>1183</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1183</v>
      </c>
      <c r="BB634" s="3"/>
      <c r="BC634" s="3"/>
      <c r="BD634" s="3"/>
    </row>
    <row r="635" spans="2:157" ht="12.9" customHeight="1">
      <c r="B635" s="52" t="s">
        <v>460</v>
      </c>
      <c r="C635" s="1489"/>
      <c r="D635" s="1489"/>
      <c r="E635" s="1489"/>
      <c r="F635" s="1489"/>
      <c r="G635" s="1489"/>
      <c r="H635" s="1489"/>
      <c r="I635" s="1489"/>
      <c r="J635" s="1489"/>
      <c r="K635" s="1489"/>
      <c r="L635" s="1489"/>
      <c r="M635" s="1493" t="s">
        <v>1183</v>
      </c>
      <c r="N635" s="1493"/>
      <c r="O635" s="1493"/>
      <c r="P635" s="1493"/>
      <c r="Q635" s="1508"/>
      <c r="R635" s="1509"/>
      <c r="S635" s="1510"/>
      <c r="T635" s="1508"/>
      <c r="U635" s="1509"/>
      <c r="V635" s="1510"/>
      <c r="W635" s="1480"/>
      <c r="X635" s="1481"/>
      <c r="Y635" s="1482"/>
      <c r="Z635" s="1476" t="s">
        <v>1183</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177.16363636363639</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 customHeight="1">
      <c r="B636" s="52" t="s">
        <v>645</v>
      </c>
      <c r="C636" s="1489"/>
      <c r="D636" s="1489"/>
      <c r="E636" s="1489"/>
      <c r="F636" s="1489"/>
      <c r="G636" s="1489"/>
      <c r="H636" s="1489"/>
      <c r="I636" s="1489"/>
      <c r="J636" s="1489"/>
      <c r="K636" s="1489"/>
      <c r="L636" s="1489"/>
      <c r="M636" s="1493" t="s">
        <v>1183</v>
      </c>
      <c r="N636" s="1493"/>
      <c r="O636" s="1493"/>
      <c r="P636" s="1493"/>
      <c r="Q636" s="1508"/>
      <c r="R636" s="1509"/>
      <c r="S636" s="1510"/>
      <c r="T636" s="1508"/>
      <c r="U636" s="1509"/>
      <c r="V636" s="1510"/>
      <c r="W636" s="1480"/>
      <c r="X636" s="1481"/>
      <c r="Y636" s="1482"/>
      <c r="Z636" s="1476" t="s">
        <v>1183</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295.27272727272731</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 customHeight="1">
      <c r="B637" s="52" t="s">
        <v>361</v>
      </c>
      <c r="C637" s="1489"/>
      <c r="D637" s="1489"/>
      <c r="E637" s="1489"/>
      <c r="F637" s="1489"/>
      <c r="G637" s="1489"/>
      <c r="H637" s="1489"/>
      <c r="I637" s="1489"/>
      <c r="J637" s="1489"/>
      <c r="K637" s="1489"/>
      <c r="L637" s="1489"/>
      <c r="M637" s="1493" t="s">
        <v>1183</v>
      </c>
      <c r="N637" s="1493"/>
      <c r="O637" s="1493"/>
      <c r="P637" s="1493"/>
      <c r="Q637" s="1508"/>
      <c r="R637" s="1509"/>
      <c r="S637" s="1510"/>
      <c r="T637" s="1508"/>
      <c r="U637" s="1509"/>
      <c r="V637" s="1510"/>
      <c r="W637" s="1480"/>
      <c r="X637" s="1481"/>
      <c r="Y637" s="1482"/>
      <c r="Z637" s="1476" t="s">
        <v>1183</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206.69090909090912</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 customHeight="1">
      <c r="B638" s="52" t="s">
        <v>362</v>
      </c>
      <c r="C638" s="1489"/>
      <c r="D638" s="1489"/>
      <c r="E638" s="1489"/>
      <c r="F638" s="1489"/>
      <c r="G638" s="1489"/>
      <c r="H638" s="1489"/>
      <c r="I638" s="1489"/>
      <c r="J638" s="1489"/>
      <c r="K638" s="1489"/>
      <c r="L638" s="1489"/>
      <c r="M638" s="1493" t="s">
        <v>1183</v>
      </c>
      <c r="N638" s="1493"/>
      <c r="O638" s="1493"/>
      <c r="P638" s="1493"/>
      <c r="Q638" s="1508"/>
      <c r="R638" s="1509"/>
      <c r="S638" s="1510"/>
      <c r="T638" s="1508"/>
      <c r="U638" s="1509"/>
      <c r="V638" s="1510"/>
      <c r="W638" s="1480"/>
      <c r="X638" s="1481"/>
      <c r="Y638" s="1482"/>
      <c r="Z638" s="1476" t="s">
        <v>1183</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520</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55432819</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99.478260869565219</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39439244</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265.30434782608694</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 customHeight="1">
      <c r="B641" s="1835"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6"/>
      <c r="AO641" s="1472">
        <f>AO639+AO640</f>
        <v>94872063</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99.478260869565219</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1724.5217391304348</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 customHeight="1">
      <c r="A643" s="55" t="s">
        <v>112</v>
      </c>
      <c r="B643" t="s">
        <v>462</v>
      </c>
      <c r="G643" s="1483" t="str">
        <f>C627</f>
        <v>Citi Community Capital</v>
      </c>
      <c r="H643" s="1483"/>
      <c r="I643" s="1483"/>
      <c r="J643" s="1483"/>
      <c r="K643" s="1483"/>
      <c r="L643" s="1483"/>
      <c r="M643" s="1483"/>
      <c r="N643" s="1483"/>
      <c r="O643" s="1483"/>
      <c r="P643" s="1483"/>
      <c r="Q643" s="1483"/>
      <c r="R643" s="1483"/>
      <c r="S643" s="8"/>
      <c r="T643" s="55" t="s">
        <v>113</v>
      </c>
      <c r="U643" t="s">
        <v>462</v>
      </c>
      <c r="Z643" s="1483" t="str">
        <f>C628</f>
        <v>HCD-CDBG-DR MHP</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56.282173913043479</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 customHeight="1">
      <c r="A644" s="22"/>
      <c r="B644" t="s">
        <v>85</v>
      </c>
      <c r="G644" s="1407" t="s">
        <v>2664</v>
      </c>
      <c r="H644" s="1407"/>
      <c r="I644" s="1407"/>
      <c r="J644" s="1407"/>
      <c r="K644" s="1407"/>
      <c r="L644" s="1407"/>
      <c r="M644" s="1407"/>
      <c r="N644" s="1407"/>
      <c r="O644" s="1407"/>
      <c r="P644" s="1407"/>
      <c r="Q644" s="1407"/>
      <c r="R644" s="1407"/>
      <c r="S644" s="8"/>
      <c r="T644" s="22"/>
      <c r="U644" t="s">
        <v>85</v>
      </c>
      <c r="Z644" s="1407" t="s">
        <v>2673</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112.57391304347826</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 customHeight="1">
      <c r="A645" s="22"/>
      <c r="B645" t="s">
        <v>579</v>
      </c>
      <c r="G645" s="1407" t="s">
        <v>2672</v>
      </c>
      <c r="H645" s="1407"/>
      <c r="I645" s="1407"/>
      <c r="J645" s="1407"/>
      <c r="K645" s="1407"/>
      <c r="L645" s="1407"/>
      <c r="M645" s="1407"/>
      <c r="N645" s="1407"/>
      <c r="O645" s="1407"/>
      <c r="P645" s="1407"/>
      <c r="Q645" s="1407"/>
      <c r="R645" s="1407"/>
      <c r="T645" s="22"/>
      <c r="U645" t="s">
        <v>579</v>
      </c>
      <c r="Z645" s="1371" t="s">
        <v>2668</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101</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 customHeight="1">
      <c r="A646" s="22"/>
      <c r="B646" t="s">
        <v>17</v>
      </c>
      <c r="G646" s="1407" t="s">
        <v>2666</v>
      </c>
      <c r="H646" s="1407"/>
      <c r="I646" s="1407"/>
      <c r="J646" s="1407"/>
      <c r="K646" s="1407"/>
      <c r="L646" s="1407"/>
      <c r="M646" s="1407"/>
      <c r="N646" s="1407"/>
      <c r="O646" s="1407"/>
      <c r="P646" s="1407"/>
      <c r="Q646" s="1407"/>
      <c r="R646" s="1407"/>
      <c r="S646" s="8"/>
      <c r="T646" s="22"/>
      <c r="U646" t="s">
        <v>17</v>
      </c>
      <c r="Z646" s="1371" t="s">
        <v>2669</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2343.7739130434779</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 customHeight="1">
      <c r="A647" s="22"/>
      <c r="B647" t="s">
        <v>315</v>
      </c>
      <c r="G647" s="1487">
        <v>8053688713</v>
      </c>
      <c r="H647" s="1487"/>
      <c r="I647" s="1487"/>
      <c r="J647" s="1487"/>
      <c r="K647" s="1487"/>
      <c r="L647" s="1487"/>
      <c r="O647" s="33" t="s">
        <v>205</v>
      </c>
      <c r="P647" s="1471"/>
      <c r="Q647" s="1471"/>
      <c r="R647" s="1471"/>
      <c r="S647" s="10"/>
      <c r="T647" s="22"/>
      <c r="U647" t="s">
        <v>315</v>
      </c>
      <c r="Z647" s="1487">
        <v>9169406039</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f t="shared" si="6"/>
        <v>141.22</v>
      </c>
      <c r="ES647" s="1369"/>
      <c r="ET647" s="1369"/>
      <c r="EU647" s="1369"/>
      <c r="EV647" s="1369"/>
      <c r="EW647" s="1369" t="e">
        <f t="shared" si="7"/>
        <v>#VALUE!</v>
      </c>
      <c r="EX647" s="1369"/>
      <c r="EY647" s="1369"/>
      <c r="EZ647" s="1369"/>
      <c r="FA647" s="1369"/>
    </row>
    <row r="648" spans="1:157" ht="12.9" customHeight="1">
      <c r="A648" s="22"/>
      <c r="B648" t="s">
        <v>18</v>
      </c>
      <c r="H648" s="1407" t="s">
        <v>2119</v>
      </c>
      <c r="I648" s="1407"/>
      <c r="J648" s="1407"/>
      <c r="K648" s="1407"/>
      <c r="L648" s="1407"/>
      <c r="M648" s="1407"/>
      <c r="N648" s="1407"/>
      <c r="O648" s="1407"/>
      <c r="P648" s="1407"/>
      <c r="Q648" s="1407"/>
      <c r="R648" s="1407"/>
      <c r="S648" s="8"/>
      <c r="T648" s="22"/>
      <c r="U648" t="s">
        <v>18</v>
      </c>
      <c r="AA648" s="1407" t="s">
        <v>2115</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f t="shared" si="6"/>
        <v>2819.25</v>
      </c>
      <c r="ES648" s="1369"/>
      <c r="ET648" s="1369"/>
      <c r="EU648" s="1369"/>
      <c r="EV648" s="1369"/>
      <c r="EW648" s="1369" t="e">
        <f t="shared" si="7"/>
        <v>#VALUE!</v>
      </c>
      <c r="EX648" s="1369"/>
      <c r="EY648" s="1369"/>
      <c r="EZ648" s="1369"/>
      <c r="FA648" s="1369"/>
    </row>
    <row r="649" spans="1:157" ht="12.9" customHeight="1">
      <c r="A649" s="22"/>
      <c r="B649" t="s">
        <v>20</v>
      </c>
      <c r="N649" s="1415" t="s">
        <v>544</v>
      </c>
      <c r="O649" s="1415"/>
      <c r="T649" s="22"/>
      <c r="U649" t="s">
        <v>20</v>
      </c>
      <c r="AG649" s="1415" t="s">
        <v>544</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 customHeight="1">
      <c r="A651" s="55" t="s">
        <v>119</v>
      </c>
      <c r="B651" t="s">
        <v>462</v>
      </c>
      <c r="G651" s="1483" t="str">
        <f>C629</f>
        <v>Zen Development LLC</v>
      </c>
      <c r="H651" s="1483"/>
      <c r="I651" s="1483"/>
      <c r="J651" s="1483"/>
      <c r="K651" s="1483"/>
      <c r="L651" s="1483"/>
      <c r="M651" s="1483"/>
      <c r="N651" s="1483"/>
      <c r="O651" s="1483"/>
      <c r="P651" s="1483"/>
      <c r="Q651" s="1483"/>
      <c r="R651" s="1483"/>
      <c r="T651" s="55" t="s">
        <v>580</v>
      </c>
      <c r="U651" t="s">
        <v>462</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 customHeight="1">
      <c r="A652" s="22"/>
      <c r="B652" t="s">
        <v>85</v>
      </c>
      <c r="G652" s="1407" t="s">
        <v>2627</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 customHeight="1">
      <c r="A653" s="22"/>
      <c r="B653" t="s">
        <v>579</v>
      </c>
      <c r="G653" s="1371" t="s">
        <v>2670</v>
      </c>
      <c r="H653" s="1371"/>
      <c r="I653" s="1371"/>
      <c r="J653" s="1371"/>
      <c r="K653" s="1371"/>
      <c r="L653" s="1371"/>
      <c r="M653" s="1371"/>
      <c r="N653" s="1371"/>
      <c r="O653" s="1371"/>
      <c r="P653" s="1371"/>
      <c r="Q653" s="1371"/>
      <c r="R653" s="1371"/>
      <c r="T653" s="22"/>
      <c r="U653" t="s">
        <v>579</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 customHeight="1">
      <c r="A654" s="22"/>
      <c r="B654" t="s">
        <v>17</v>
      </c>
      <c r="G654" s="1371" t="s">
        <v>2629</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 customHeight="1">
      <c r="A655" s="22"/>
      <c r="B655" t="s">
        <v>315</v>
      </c>
      <c r="G655" s="1487">
        <v>8186533899</v>
      </c>
      <c r="H655" s="1487"/>
      <c r="I655" s="1487"/>
      <c r="J655" s="1487"/>
      <c r="K655" s="1487"/>
      <c r="L655" s="1487"/>
      <c r="O655" s="33" t="s">
        <v>205</v>
      </c>
      <c r="P655" s="1471"/>
      <c r="Q655" s="1471"/>
      <c r="R655" s="1471"/>
      <c r="T655" s="22"/>
      <c r="U655" t="s">
        <v>315</v>
      </c>
      <c r="Z655" s="1487"/>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 customHeight="1">
      <c r="A656" s="22"/>
      <c r="B656" t="s">
        <v>18</v>
      </c>
      <c r="H656" s="1407" t="s">
        <v>2671</v>
      </c>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 customHeight="1">
      <c r="A657" s="22"/>
      <c r="B657" t="s">
        <v>20</v>
      </c>
      <c r="N657" s="1415" t="s">
        <v>544</v>
      </c>
      <c r="O657" s="1415"/>
      <c r="T657" s="22"/>
      <c r="U657" t="s">
        <v>20</v>
      </c>
      <c r="AG657" s="1415" t="s">
        <v>668</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 customHeight="1">
      <c r="A659" s="55" t="s">
        <v>762</v>
      </c>
      <c r="B659" t="s">
        <v>462</v>
      </c>
      <c r="G659" s="1483">
        <f>C631</f>
        <v>0</v>
      </c>
      <c r="H659" s="1483"/>
      <c r="I659" s="1483"/>
      <c r="J659" s="1483"/>
      <c r="K659" s="1483"/>
      <c r="L659" s="1483"/>
      <c r="M659" s="1483"/>
      <c r="N659" s="1483"/>
      <c r="O659" s="1483"/>
      <c r="P659" s="1483"/>
      <c r="Q659" s="1483"/>
      <c r="R659" s="1483"/>
      <c r="T659" s="55" t="s">
        <v>583</v>
      </c>
      <c r="U659" t="s">
        <v>462</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 customHeight="1">
      <c r="A661" s="22"/>
      <c r="B661" t="s">
        <v>579</v>
      </c>
      <c r="G661" s="1407"/>
      <c r="H661" s="1407"/>
      <c r="I661" s="1407"/>
      <c r="J661" s="1407"/>
      <c r="K661" s="1407"/>
      <c r="L661" s="1407"/>
      <c r="M661" s="1407"/>
      <c r="N661" s="1407"/>
      <c r="O661" s="1407"/>
      <c r="P661" s="1407"/>
      <c r="Q661" s="1407"/>
      <c r="R661" s="1407"/>
      <c r="T661" s="22"/>
      <c r="U661" t="s">
        <v>579</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 customHeight="1">
      <c r="A663" s="22"/>
      <c r="B663" t="s">
        <v>315</v>
      </c>
      <c r="G663" s="1487"/>
      <c r="H663" s="1487"/>
      <c r="I663" s="1487"/>
      <c r="J663" s="1487"/>
      <c r="K663" s="1487"/>
      <c r="L663" s="1487"/>
      <c r="O663" s="33" t="s">
        <v>205</v>
      </c>
      <c r="P663" s="1471"/>
      <c r="Q663" s="1471"/>
      <c r="R663" s="1471"/>
      <c r="T663" s="22"/>
      <c r="U663" t="s">
        <v>315</v>
      </c>
      <c r="Z663" s="1487"/>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 customHeight="1">
      <c r="A665" s="22"/>
      <c r="B665" t="s">
        <v>20</v>
      </c>
      <c r="N665" s="1415" t="s">
        <v>668</v>
      </c>
      <c r="O665" s="1415"/>
      <c r="T665" s="22"/>
      <c r="U665" t="s">
        <v>20</v>
      </c>
      <c r="AG665" s="1415" t="s">
        <v>668</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 customHeight="1">
      <c r="A667" s="55" t="s">
        <v>454</v>
      </c>
      <c r="B667" t="s">
        <v>462</v>
      </c>
      <c r="G667" s="1483">
        <f>C633</f>
        <v>0</v>
      </c>
      <c r="H667" s="1483"/>
      <c r="I667" s="1483"/>
      <c r="J667" s="1483"/>
      <c r="K667" s="1483"/>
      <c r="L667" s="1483"/>
      <c r="M667" s="1483"/>
      <c r="N667" s="1483"/>
      <c r="O667" s="1483"/>
      <c r="P667" s="1483"/>
      <c r="Q667" s="1483"/>
      <c r="R667" s="1483"/>
      <c r="T667" s="55" t="s">
        <v>455</v>
      </c>
      <c r="U667" t="s">
        <v>462</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 customHeight="1">
      <c r="A669" s="22"/>
      <c r="B669" t="s">
        <v>579</v>
      </c>
      <c r="G669" s="1407"/>
      <c r="H669" s="1407"/>
      <c r="I669" s="1407"/>
      <c r="J669" s="1407"/>
      <c r="K669" s="1407"/>
      <c r="L669" s="1407"/>
      <c r="M669" s="1407"/>
      <c r="N669" s="1407"/>
      <c r="O669" s="1407"/>
      <c r="P669" s="1407"/>
      <c r="Q669" s="1407"/>
      <c r="R669" s="1407"/>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1199.1272727272728</v>
      </c>
      <c r="ED670" s="1369"/>
      <c r="EE670" s="1369"/>
      <c r="EF670" s="1369"/>
      <c r="EG670" s="1369"/>
      <c r="EH670" s="1369">
        <f>SUMIF(EH635:EL669,"&gt;0")</f>
        <v>2188.782608695652</v>
      </c>
      <c r="EI670" s="1369"/>
      <c r="EJ670" s="1369"/>
      <c r="EK670" s="1369"/>
      <c r="EL670" s="1369"/>
      <c r="EM670" s="1369">
        <f>SUMIF(EM635:EQ669,"&gt;0")</f>
        <v>2613.6299999999997</v>
      </c>
      <c r="EN670" s="1369"/>
      <c r="EO670" s="1369"/>
      <c r="EP670" s="1369"/>
      <c r="EQ670" s="1369"/>
      <c r="ER670" s="1369">
        <f>SUMIF(ER635:EV669,"&gt;0")</f>
        <v>2960.47</v>
      </c>
      <c r="ES670" s="1369"/>
      <c r="ET670" s="1369"/>
      <c r="EU670" s="1369"/>
      <c r="EV670" s="1369"/>
      <c r="EW670" s="1369">
        <f>SUMIF(EW635:FA669,"&gt;0")</f>
        <v>0</v>
      </c>
      <c r="EX670" s="1369"/>
      <c r="EY670" s="1369"/>
      <c r="EZ670" s="1369"/>
      <c r="FA670" s="1369"/>
    </row>
    <row r="671" spans="1:157" ht="12.9"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5" t="s">
        <v>668</v>
      </c>
      <c r="O673" s="1415"/>
      <c r="T673" s="22"/>
      <c r="U673" t="s">
        <v>20</v>
      </c>
      <c r="AG673" s="1415" t="s">
        <v>668</v>
      </c>
      <c r="AH673" s="1415"/>
      <c r="AZ673" s="3"/>
    </row>
    <row r="674" spans="1:52" ht="12.9" customHeight="1">
      <c r="A674" s="22"/>
      <c r="T674" s="22"/>
      <c r="AZ674" s="3"/>
    </row>
    <row r="675" spans="1:52" ht="12.9" customHeight="1">
      <c r="A675" s="55" t="s">
        <v>460</v>
      </c>
      <c r="B675" t="s">
        <v>462</v>
      </c>
      <c r="G675" s="1483">
        <f>C635</f>
        <v>0</v>
      </c>
      <c r="H675" s="1483"/>
      <c r="I675" s="1483"/>
      <c r="J675" s="1483"/>
      <c r="K675" s="1483"/>
      <c r="L675" s="1483"/>
      <c r="M675" s="1483"/>
      <c r="N675" s="1483"/>
      <c r="O675" s="1483"/>
      <c r="P675" s="1483"/>
      <c r="Q675" s="1483"/>
      <c r="R675" s="1483"/>
      <c r="T675" s="55" t="s">
        <v>645</v>
      </c>
      <c r="U675" t="s">
        <v>462</v>
      </c>
      <c r="Z675" s="1483">
        <f>C636</f>
        <v>0</v>
      </c>
      <c r="AA675" s="1483"/>
      <c r="AB675" s="1483"/>
      <c r="AC675" s="1483"/>
      <c r="AD675" s="1483"/>
      <c r="AE675" s="1483"/>
      <c r="AF675" s="1483"/>
      <c r="AG675" s="1483"/>
      <c r="AH675" s="1483"/>
      <c r="AI675" s="1483"/>
      <c r="AJ675" s="1483"/>
      <c r="AK675" s="1483"/>
      <c r="AZ675" s="3"/>
    </row>
    <row r="676" spans="1:52" ht="12.9"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 customHeight="1">
      <c r="A677" s="22"/>
      <c r="B677" t="s">
        <v>579</v>
      </c>
      <c r="G677" s="1407"/>
      <c r="H677" s="1407"/>
      <c r="I677" s="1407"/>
      <c r="J677" s="1407"/>
      <c r="K677" s="1407"/>
      <c r="L677" s="1407"/>
      <c r="M677" s="1407"/>
      <c r="N677" s="1407"/>
      <c r="O677" s="1407"/>
      <c r="P677" s="1407"/>
      <c r="Q677" s="1407"/>
      <c r="R677" s="1407"/>
      <c r="T677" s="22"/>
      <c r="U677" t="s">
        <v>579</v>
      </c>
      <c r="Z677" s="1371"/>
      <c r="AA677" s="1371"/>
      <c r="AB677" s="1371"/>
      <c r="AC677" s="1371"/>
      <c r="AD677" s="1371"/>
      <c r="AE677" s="1371"/>
      <c r="AF677" s="1371"/>
      <c r="AG677" s="1371"/>
      <c r="AH677" s="1371"/>
      <c r="AI677" s="1371"/>
      <c r="AJ677" s="1371"/>
      <c r="AK677" s="1371"/>
      <c r="AZ677" s="3"/>
    </row>
    <row r="678" spans="1:52" ht="12.9"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2.9"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 customHeight="1">
      <c r="A681" s="22"/>
      <c r="B681" t="s">
        <v>20</v>
      </c>
      <c r="N681" s="1415" t="s">
        <v>668</v>
      </c>
      <c r="O681" s="1415"/>
      <c r="T681" s="22"/>
      <c r="U681" t="s">
        <v>20</v>
      </c>
      <c r="AG681" s="1415" t="s">
        <v>668</v>
      </c>
      <c r="AH681" s="1415"/>
      <c r="AZ681" s="3"/>
    </row>
    <row r="682" spans="1:52" ht="12.9" customHeight="1">
      <c r="A682" s="22"/>
      <c r="T682" s="22"/>
      <c r="AZ682" s="3"/>
    </row>
    <row r="683" spans="1:52" ht="12.9" customHeight="1">
      <c r="A683" s="55" t="s">
        <v>361</v>
      </c>
      <c r="B683" t="s">
        <v>462</v>
      </c>
      <c r="G683" s="1483">
        <f>C637</f>
        <v>0</v>
      </c>
      <c r="H683" s="1483"/>
      <c r="I683" s="1483"/>
      <c r="J683" s="1483"/>
      <c r="K683" s="1483"/>
      <c r="L683" s="1483"/>
      <c r="M683" s="1483"/>
      <c r="N683" s="1483"/>
      <c r="O683" s="1483"/>
      <c r="P683" s="1483"/>
      <c r="Q683" s="1483"/>
      <c r="R683" s="1483"/>
      <c r="T683" s="55" t="s">
        <v>362</v>
      </c>
      <c r="U683" t="s">
        <v>462</v>
      </c>
      <c r="Z683" s="1483">
        <f>C638</f>
        <v>0</v>
      </c>
      <c r="AA683" s="1483"/>
      <c r="AB683" s="1483"/>
      <c r="AC683" s="1483"/>
      <c r="AD683" s="1483"/>
      <c r="AE683" s="1483"/>
      <c r="AF683" s="1483"/>
      <c r="AG683" s="1483"/>
      <c r="AH683" s="1483"/>
      <c r="AI683" s="1483"/>
      <c r="AJ683" s="1483"/>
      <c r="AK683" s="1483"/>
      <c r="AZ683" s="3"/>
    </row>
    <row r="684" spans="1:52" ht="12.9"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 customHeight="1">
      <c r="B685" t="s">
        <v>579</v>
      </c>
      <c r="G685" s="1407"/>
      <c r="H685" s="1407"/>
      <c r="I685" s="1407"/>
      <c r="J685" s="1407"/>
      <c r="K685" s="1407"/>
      <c r="L685" s="1407"/>
      <c r="M685" s="1407"/>
      <c r="N685" s="1407"/>
      <c r="O685" s="1407"/>
      <c r="P685" s="1407"/>
      <c r="Q685" s="1407"/>
      <c r="R685" s="1407"/>
      <c r="U685" t="s">
        <v>579</v>
      </c>
      <c r="Z685" s="1371"/>
      <c r="AA685" s="1371"/>
      <c r="AB685" s="1371"/>
      <c r="AC685" s="1371"/>
      <c r="AD685" s="1371"/>
      <c r="AE685" s="1371"/>
      <c r="AF685" s="1371"/>
      <c r="AG685" s="1371"/>
      <c r="AH685" s="1371"/>
      <c r="AI685" s="1371"/>
      <c r="AJ685" s="1371"/>
      <c r="AK685" s="1371"/>
      <c r="AZ685" s="3"/>
    </row>
    <row r="686" spans="1:52" ht="12.9"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2.9"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 customHeight="1">
      <c r="B689" t="s">
        <v>20</v>
      </c>
      <c r="N689" s="1415" t="s">
        <v>668</v>
      </c>
      <c r="O689" s="1415"/>
      <c r="U689" t="s">
        <v>20</v>
      </c>
      <c r="AG689" s="1415" t="s">
        <v>668</v>
      </c>
      <c r="AH689" s="1415"/>
      <c r="AZ689" s="3"/>
    </row>
    <row r="690" spans="1:67" ht="12.9" customHeight="1">
      <c r="AZ690" s="3"/>
    </row>
    <row r="691" spans="1:67" ht="12.9" customHeight="1">
      <c r="A691" s="2" t="s">
        <v>575</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5" t="s">
        <v>544</v>
      </c>
      <c r="AF693" s="1415"/>
      <c r="AZ693" s="3"/>
    </row>
    <row r="694" spans="1:67" ht="12.9" customHeight="1">
      <c r="B694" s="135"/>
      <c r="C694" s="135"/>
      <c r="D694" s="136" t="s">
        <v>437</v>
      </c>
      <c r="E694" s="135"/>
      <c r="F694" s="135"/>
      <c r="G694" s="135"/>
      <c r="H694" s="135"/>
      <c r="AE694" s="1415" t="s">
        <v>668</v>
      </c>
      <c r="AF694" s="1415"/>
      <c r="AZ694" s="3"/>
    </row>
    <row r="695" spans="1:67" ht="12.9" customHeight="1">
      <c r="B695" s="135"/>
      <c r="C695" s="135"/>
      <c r="D695" s="136" t="s">
        <v>919</v>
      </c>
      <c r="E695" s="135"/>
      <c r="F695" s="135"/>
      <c r="G695" s="135"/>
      <c r="H695" s="135"/>
      <c r="AE695" s="1506">
        <v>45797</v>
      </c>
      <c r="AF695" s="1506"/>
      <c r="AG695" s="1506"/>
      <c r="AH695" s="1506"/>
      <c r="AI695" s="1506"/>
    </row>
    <row r="696" spans="1:67" ht="12.9" customHeight="1">
      <c r="B696" s="135"/>
      <c r="C696" s="135"/>
      <c r="D696" s="317" t="s">
        <v>982</v>
      </c>
      <c r="E696" s="135"/>
      <c r="F696" s="135"/>
      <c r="G696" s="135"/>
      <c r="H696" s="135"/>
      <c r="AE696" s="1668">
        <v>46239</v>
      </c>
      <c r="AF696" s="1668"/>
      <c r="AG696" s="1668"/>
      <c r="AH696" s="1668"/>
      <c r="AI696" s="1668"/>
    </row>
    <row r="697" spans="1:67" ht="12.9" customHeight="1">
      <c r="B697" s="135"/>
      <c r="C697" s="135"/>
    </row>
    <row r="698" spans="1:67" ht="12.9" customHeight="1">
      <c r="B698" s="135"/>
      <c r="C698" s="135"/>
      <c r="D698" s="136" t="s">
        <v>815</v>
      </c>
      <c r="E698" s="135"/>
      <c r="F698" s="135"/>
      <c r="G698" s="135"/>
      <c r="H698" s="135"/>
      <c r="AE698" s="1506">
        <v>46023</v>
      </c>
      <c r="AF698" s="1506"/>
      <c r="AG698" s="1506"/>
      <c r="AH698" s="1506"/>
      <c r="AI698" s="1506"/>
    </row>
    <row r="699" spans="1:67" ht="12.9" customHeight="1">
      <c r="B699" s="135"/>
      <c r="C699" s="135"/>
      <c r="D699" s="136" t="s">
        <v>435</v>
      </c>
      <c r="E699" s="135"/>
      <c r="F699" s="135"/>
      <c r="G699" s="135"/>
      <c r="H699" s="135"/>
      <c r="AE699" s="1688">
        <f>AM554/SUM('Sources and Uses Budget'!R4,'Sources and Uses Budget'!S107)</f>
        <v>0.5303582591877124</v>
      </c>
      <c r="AF699" s="1688"/>
      <c r="AG699" s="1688"/>
      <c r="AH699" s="1688"/>
      <c r="AI699" s="1688"/>
    </row>
    <row r="700" spans="1:67" ht="12.9" customHeight="1">
      <c r="B700" s="135"/>
      <c r="C700" s="135"/>
      <c r="D700" s="136" t="s">
        <v>436</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5" t="s">
        <v>668</v>
      </c>
      <c r="AF702" s="1415"/>
      <c r="AZ702" s="4" t="s">
        <v>323</v>
      </c>
    </row>
    <row r="703" spans="1:67" ht="12.9" customHeight="1">
      <c r="B703" s="135"/>
      <c r="C703" s="135"/>
      <c r="D703" s="136" t="s">
        <v>441</v>
      </c>
      <c r="E703" s="135"/>
      <c r="F703" s="135"/>
      <c r="G703" s="135"/>
      <c r="H703" s="135"/>
      <c r="W703" s="1523" t="s">
        <v>2719</v>
      </c>
      <c r="X703" s="1407"/>
      <c r="Y703" s="1407"/>
      <c r="Z703" s="1407"/>
      <c r="AA703" s="1407"/>
      <c r="AB703" s="1407"/>
      <c r="AC703" s="1407"/>
      <c r="AD703" s="1407"/>
      <c r="AE703" s="1407"/>
      <c r="AF703" s="1407"/>
      <c r="AG703" s="1407"/>
      <c r="AH703" s="1407"/>
      <c r="AI703" s="1407"/>
      <c r="AJ703" s="1407"/>
      <c r="AK703" s="1407"/>
      <c r="AZ703" s="4" t="s">
        <v>324</v>
      </c>
    </row>
    <row r="704" spans="1:67" ht="12.9" customHeight="1">
      <c r="B704" s="135"/>
      <c r="C704" s="135"/>
      <c r="D704" s="136" t="s">
        <v>87</v>
      </c>
      <c r="E704" s="135"/>
      <c r="F704" s="135"/>
      <c r="G704" s="135"/>
      <c r="H704" s="135"/>
      <c r="J704" s="1523" t="s">
        <v>2719</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442</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4" t="s">
        <v>388</v>
      </c>
      <c r="C714" s="1495"/>
      <c r="D714" s="1495"/>
      <c r="E714" s="1495"/>
      <c r="F714" s="1496"/>
      <c r="G714" s="1494" t="s">
        <v>284</v>
      </c>
      <c r="H714" s="1495"/>
      <c r="I714" s="1495"/>
      <c r="J714" s="1496"/>
      <c r="K714" s="1511" t="s">
        <v>1678</v>
      </c>
      <c r="L714" s="1512"/>
      <c r="M714" s="1512"/>
      <c r="N714" s="1513"/>
      <c r="O714" s="1494" t="s">
        <v>446</v>
      </c>
      <c r="P714" s="1495"/>
      <c r="Q714" s="1495"/>
      <c r="R714" s="1495"/>
      <c r="S714" s="1496"/>
      <c r="T714" s="1507" t="s">
        <v>1949</v>
      </c>
      <c r="U714" s="1495"/>
      <c r="V714" s="1495"/>
      <c r="W714" s="1496"/>
      <c r="X714" s="1507" t="s">
        <v>1951</v>
      </c>
      <c r="Y714" s="1495"/>
      <c r="Z714" s="1495"/>
      <c r="AA714" s="1495"/>
      <c r="AB714" s="1496"/>
      <c r="AC714" s="1507" t="s">
        <v>1950</v>
      </c>
      <c r="AD714" s="1495"/>
      <c r="AE714" s="1495"/>
      <c r="AF714" s="1495"/>
      <c r="AG714" s="1496"/>
      <c r="AH714" s="1507" t="s">
        <v>1952</v>
      </c>
      <c r="AI714" s="1495"/>
      <c r="AJ714" s="1496"/>
      <c r="AK714" s="1507" t="s">
        <v>1979</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35"/>
      <c r="CJ717" s="1337"/>
      <c r="CK717" s="121" t="s">
        <v>474</v>
      </c>
      <c r="CL717" s="122"/>
      <c r="CM717" s="1335"/>
      <c r="CN717" s="1337"/>
      <c r="CO717" s="3"/>
      <c r="CP717" s="1798" t="s">
        <v>632</v>
      </c>
      <c r="CQ717" s="1799"/>
      <c r="CR717" s="1799"/>
      <c r="CS717" s="1799"/>
      <c r="CT717" s="1800"/>
      <c r="CU717" s="1488" t="s">
        <v>324</v>
      </c>
      <c r="CV717" s="1488"/>
      <c r="CW717" s="1488"/>
      <c r="CX717" s="1488"/>
      <c r="CY717" s="1488"/>
      <c r="CZ717" s="1488" t="s">
        <v>163</v>
      </c>
      <c r="DA717" s="1488"/>
      <c r="DB717" s="1488"/>
      <c r="DC717" s="1488"/>
      <c r="DD717" s="1488"/>
      <c r="DE717" s="1488" t="s">
        <v>164</v>
      </c>
      <c r="DF717" s="1488"/>
      <c r="DG717" s="1488"/>
      <c r="DH717" s="1488"/>
      <c r="DI717" s="1488"/>
      <c r="DJ717" s="1488" t="s">
        <v>459</v>
      </c>
      <c r="DK717" s="1488"/>
      <c r="DL717" s="1488"/>
      <c r="DM717" s="1488"/>
      <c r="DN717" s="1488"/>
      <c r="DO717" s="1488" t="s">
        <v>30</v>
      </c>
      <c r="DP717" s="1488"/>
      <c r="DQ717" s="1488"/>
      <c r="DR717" s="1488"/>
      <c r="DS717" s="1488"/>
      <c r="DT717" s="89"/>
      <c r="DU717" s="1488" t="s">
        <v>632</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459</v>
      </c>
      <c r="EP717" s="1488"/>
      <c r="EQ717" s="1488"/>
      <c r="ER717" s="1488"/>
      <c r="ES717" s="1488"/>
      <c r="ET717" s="1488" t="s">
        <v>30</v>
      </c>
      <c r="EU717" s="1488"/>
      <c r="EV717" s="1488"/>
      <c r="EW717" s="1488"/>
      <c r="EX717" s="1488"/>
      <c r="EY717" s="4"/>
      <c r="EZ717" s="1488" t="s">
        <v>632</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459</v>
      </c>
      <c r="FU717" s="1488"/>
      <c r="FV717" s="1488"/>
      <c r="FW717" s="1488"/>
      <c r="FX717" s="1488"/>
      <c r="FY717" s="1488" t="s">
        <v>30</v>
      </c>
      <c r="FZ717" s="1488"/>
      <c r="GA717" s="1488"/>
      <c r="GB717" s="1488"/>
      <c r="GC717" s="1488"/>
    </row>
    <row r="718" spans="1:185" ht="12.9" customHeight="1">
      <c r="A718" s="4"/>
      <c r="B718" s="1355" t="s">
        <v>324</v>
      </c>
      <c r="C718" s="1356"/>
      <c r="D718" s="1356"/>
      <c r="E718" s="1356"/>
      <c r="F718" s="1357"/>
      <c r="G718" s="1364">
        <v>6</v>
      </c>
      <c r="H718" s="1365"/>
      <c r="I718" s="1365"/>
      <c r="J718" s="1366"/>
      <c r="K718" s="1607">
        <v>525</v>
      </c>
      <c r="L718" s="1608"/>
      <c r="M718" s="1608"/>
      <c r="N718" s="1609"/>
      <c r="O718" s="1468">
        <f>1112.4-T718</f>
        <v>974.40000000000009</v>
      </c>
      <c r="P718" s="1469"/>
      <c r="Q718" s="1469"/>
      <c r="R718" s="1469"/>
      <c r="S718" s="1470"/>
      <c r="T718" s="1468">
        <f>Q832</f>
        <v>138</v>
      </c>
      <c r="U718" s="1469"/>
      <c r="V718" s="1469"/>
      <c r="W718" s="1470"/>
      <c r="X718" s="1358">
        <f t="shared" ref="X718:X741" si="8">O718+T718</f>
        <v>1112.4000000000001</v>
      </c>
      <c r="Y718" s="1359"/>
      <c r="Z718" s="1359"/>
      <c r="AA718" s="1359"/>
      <c r="AB718" s="1360"/>
      <c r="AC718" s="1616">
        <v>0.3</v>
      </c>
      <c r="AD718" s="1617"/>
      <c r="AE718" s="1617"/>
      <c r="AF718" s="1617"/>
      <c r="AG718" s="1618"/>
      <c r="AH718" s="1361">
        <f>IF($AC718&gt;0,($X718/$AZ718), "")</f>
        <v>0.30000000000000004</v>
      </c>
      <c r="AI718" s="1362"/>
      <c r="AJ718" s="1363"/>
      <c r="AK718" s="1355" t="s">
        <v>590</v>
      </c>
      <c r="AL718" s="1356"/>
      <c r="AM718" s="1356"/>
      <c r="AN718" s="1356"/>
      <c r="AO718" s="1357"/>
      <c r="AP718" s="3"/>
      <c r="AQ718" s="3"/>
      <c r="AR718" s="3"/>
      <c r="AS718" s="3"/>
      <c r="AZ718" s="118">
        <f t="shared" ref="AZ718:AZ752" si="9">IF($G718=0,"N/A",VLOOKUP($T$189,TC_Rent,(MATCH($B718,bedrooms,FALSE)),FALSE))</f>
        <v>3708</v>
      </c>
      <c r="BA718" s="3"/>
      <c r="BB718" s="3"/>
      <c r="BC718" s="3"/>
      <c r="BD718" s="3"/>
      <c r="BE718" s="204"/>
      <c r="BF718" s="293">
        <f t="shared" ref="BF718:BF752" si="10">G718</f>
        <v>6</v>
      </c>
      <c r="BG718" s="297">
        <f t="shared" ref="BG718:BG752" si="11">IF($BF$753=0,0,BF718/$BF$753)</f>
        <v>6.741573033707865E-2</v>
      </c>
      <c r="BH718" s="298">
        <f t="shared" ref="BH718:BH752" si="12">IF(BG718=0,"",BG718*AC718)</f>
        <v>2.0224719101123594E-2</v>
      </c>
      <c r="BI718" s="3"/>
      <c r="BJ718" s="3"/>
      <c r="BK718" s="3"/>
      <c r="BL718" s="3"/>
      <c r="BM718" s="3"/>
      <c r="BN718" s="3"/>
      <c r="BS718" s="293">
        <f t="shared" ref="BS718:BS752" si="13">G718</f>
        <v>6</v>
      </c>
      <c r="BT718" s="297">
        <f t="shared" ref="BT718:BT752" si="14">IF($BS$753=0,0,BS718/$BS$753)</f>
        <v>6.741573033707865E-2</v>
      </c>
      <c r="BU718" s="298">
        <f t="shared" ref="BU718:BU752" si="15">IF(BT718=0,"",BT718*AH718)</f>
        <v>2.0224719101123598E-2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6</v>
      </c>
      <c r="CN718" s="1337"/>
      <c r="CO718" s="3"/>
      <c r="CP718" s="1332">
        <f t="shared" ref="CP718:CP752" si="18">IF(B718="SRO/Studio",G718,0)</f>
        <v>0</v>
      </c>
      <c r="CQ718" s="1333"/>
      <c r="CR718" s="1333"/>
      <c r="CS718" s="1333"/>
      <c r="CT718" s="1334"/>
      <c r="CU718" s="1354">
        <f t="shared" ref="CU718:CU752" si="19">IF(B718="1 Bedroom",G718,0)</f>
        <v>6</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6</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974.40000000000009</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 customHeight="1">
      <c r="A719" s="4"/>
      <c r="B719" s="1355" t="s">
        <v>324</v>
      </c>
      <c r="C719" s="1356"/>
      <c r="D719" s="1356"/>
      <c r="E719" s="1356"/>
      <c r="F719" s="1357"/>
      <c r="G719" s="1364">
        <v>10</v>
      </c>
      <c r="H719" s="1365"/>
      <c r="I719" s="1365"/>
      <c r="J719" s="1366"/>
      <c r="K719" s="1607">
        <v>525</v>
      </c>
      <c r="L719" s="1608"/>
      <c r="M719" s="1608"/>
      <c r="N719" s="1609"/>
      <c r="O719" s="1468">
        <f>1112.4-T719</f>
        <v>974.40000000000009</v>
      </c>
      <c r="P719" s="1469"/>
      <c r="Q719" s="1469"/>
      <c r="R719" s="1469"/>
      <c r="S719" s="1470"/>
      <c r="T719" s="1468">
        <f>Q832</f>
        <v>138</v>
      </c>
      <c r="U719" s="1469"/>
      <c r="V719" s="1469"/>
      <c r="W719" s="1470"/>
      <c r="X719" s="1358">
        <f t="shared" si="8"/>
        <v>1112.4000000000001</v>
      </c>
      <c r="Y719" s="1359"/>
      <c r="Z719" s="1359"/>
      <c r="AA719" s="1359"/>
      <c r="AB719" s="1360"/>
      <c r="AC719" s="1616">
        <v>0.3</v>
      </c>
      <c r="AD719" s="1617"/>
      <c r="AE719" s="1617"/>
      <c r="AF719" s="1617"/>
      <c r="AG719" s="1618"/>
      <c r="AH719" s="1361">
        <f t="shared" ref="AH719:AH752" si="36">IF($AC719&gt;0,($X719/$AZ719), "")</f>
        <v>0.30000000000000004</v>
      </c>
      <c r="AI719" s="1362"/>
      <c r="AJ719" s="1363"/>
      <c r="AK719" s="1355" t="s">
        <v>2099</v>
      </c>
      <c r="AL719" s="1356"/>
      <c r="AM719" s="1356"/>
      <c r="AN719" s="1356"/>
      <c r="AO719" s="1357"/>
      <c r="AP719" s="3"/>
      <c r="AQ719" s="3"/>
      <c r="AR719" s="3"/>
      <c r="AS719" s="3"/>
      <c r="AZ719" s="118">
        <f t="shared" si="9"/>
        <v>3708</v>
      </c>
      <c r="BA719" s="3"/>
      <c r="BB719" s="3"/>
      <c r="BC719" s="3"/>
      <c r="BD719" s="3"/>
      <c r="BE719" s="204"/>
      <c r="BF719" s="294">
        <f t="shared" si="10"/>
        <v>10</v>
      </c>
      <c r="BG719" s="297">
        <f t="shared" si="11"/>
        <v>0.11235955056179775</v>
      </c>
      <c r="BH719" s="298">
        <f t="shared" si="12"/>
        <v>3.3707865168539325E-2</v>
      </c>
      <c r="BI719" s="3"/>
      <c r="BJ719" s="3"/>
      <c r="BK719" s="3"/>
      <c r="BL719" s="3"/>
      <c r="BM719" s="3"/>
      <c r="BN719" s="3"/>
      <c r="BS719" s="294">
        <f t="shared" si="13"/>
        <v>10</v>
      </c>
      <c r="BT719" s="297">
        <f t="shared" si="14"/>
        <v>0.11235955056179775</v>
      </c>
      <c r="BU719" s="298">
        <f t="shared" si="15"/>
        <v>3.3707865168539332E-2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10</v>
      </c>
      <c r="CN719" s="1337"/>
      <c r="CO719" s="3"/>
      <c r="CP719" s="1332">
        <f t="shared" si="18"/>
        <v>0</v>
      </c>
      <c r="CQ719" s="1333"/>
      <c r="CR719" s="1333"/>
      <c r="CS719" s="1333"/>
      <c r="CT719" s="1334"/>
      <c r="CU719" s="1354">
        <f t="shared" si="19"/>
        <v>10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10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974.40000000000009</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 customHeight="1">
      <c r="A720" s="4"/>
      <c r="B720" s="1355" t="s">
        <v>324</v>
      </c>
      <c r="C720" s="1356"/>
      <c r="D720" s="1356"/>
      <c r="E720" s="1356"/>
      <c r="F720" s="1357"/>
      <c r="G720" s="1364">
        <v>7</v>
      </c>
      <c r="H720" s="1365"/>
      <c r="I720" s="1365"/>
      <c r="J720" s="1366"/>
      <c r="K720" s="1607">
        <v>525</v>
      </c>
      <c r="L720" s="1608"/>
      <c r="M720" s="1608"/>
      <c r="N720" s="1609"/>
      <c r="O720" s="1468">
        <f>1112.4-T720</f>
        <v>974.40000000000009</v>
      </c>
      <c r="P720" s="1469"/>
      <c r="Q720" s="1469"/>
      <c r="R720" s="1469"/>
      <c r="S720" s="1470"/>
      <c r="T720" s="1468">
        <f>Q832</f>
        <v>138</v>
      </c>
      <c r="U720" s="1469"/>
      <c r="V720" s="1469"/>
      <c r="W720" s="1470"/>
      <c r="X720" s="1358">
        <f t="shared" si="8"/>
        <v>1112.4000000000001</v>
      </c>
      <c r="Y720" s="1359"/>
      <c r="Z720" s="1359"/>
      <c r="AA720" s="1359"/>
      <c r="AB720" s="1360"/>
      <c r="AC720" s="1616">
        <v>0.3</v>
      </c>
      <c r="AD720" s="1617"/>
      <c r="AE720" s="1617"/>
      <c r="AF720" s="1617"/>
      <c r="AG720" s="1618"/>
      <c r="AH720" s="1361">
        <f t="shared" si="36"/>
        <v>0.30000000000000004</v>
      </c>
      <c r="AI720" s="1362"/>
      <c r="AJ720" s="1363"/>
      <c r="AK720" s="1355" t="s">
        <v>1042</v>
      </c>
      <c r="AL720" s="1356"/>
      <c r="AM720" s="1356"/>
      <c r="AN720" s="1356"/>
      <c r="AO720" s="1357"/>
      <c r="AP720" s="3"/>
      <c r="AQ720" s="3"/>
      <c r="AR720" s="3"/>
      <c r="AS720" s="3"/>
      <c r="AZ720" s="118">
        <f t="shared" si="9"/>
        <v>3708</v>
      </c>
      <c r="BA720" s="3"/>
      <c r="BB720" s="3"/>
      <c r="BC720" s="3"/>
      <c r="BD720" s="3"/>
      <c r="BE720" s="204"/>
      <c r="BF720" s="294">
        <f t="shared" si="10"/>
        <v>7</v>
      </c>
      <c r="BG720" s="297">
        <f t="shared" si="11"/>
        <v>7.8651685393258425E-2</v>
      </c>
      <c r="BH720" s="298">
        <f t="shared" si="12"/>
        <v>2.3595505617977526E-2</v>
      </c>
      <c r="BI720" s="3"/>
      <c r="BJ720" s="3"/>
      <c r="BK720" s="3"/>
      <c r="BL720" s="3"/>
      <c r="BM720" s="3"/>
      <c r="BN720" s="3"/>
      <c r="BS720" s="294">
        <f t="shared" si="13"/>
        <v>7</v>
      </c>
      <c r="BT720" s="297">
        <f t="shared" si="14"/>
        <v>7.8651685393258425E-2</v>
      </c>
      <c r="BU720" s="298">
        <f t="shared" si="15"/>
        <v>2.359550561797753E-2</v>
      </c>
      <c r="CC720" s="3"/>
      <c r="CD720" s="3"/>
      <c r="CE720" s="3"/>
      <c r="CF720" s="3"/>
      <c r="CG720" s="1351">
        <f t="shared" si="37"/>
        <v>0</v>
      </c>
      <c r="CH720" s="1353"/>
      <c r="CI720" s="1335">
        <f t="shared" si="38"/>
        <v>0</v>
      </c>
      <c r="CJ720" s="1337"/>
      <c r="CK720" s="1351">
        <f t="shared" si="16"/>
        <v>1</v>
      </c>
      <c r="CL720" s="1353"/>
      <c r="CM720" s="1335">
        <f t="shared" si="17"/>
        <v>7</v>
      </c>
      <c r="CN720" s="1337"/>
      <c r="CO720" s="3"/>
      <c r="CP720" s="1332">
        <f t="shared" si="18"/>
        <v>0</v>
      </c>
      <c r="CQ720" s="1333"/>
      <c r="CR720" s="1333"/>
      <c r="CS720" s="1333"/>
      <c r="CT720" s="1334"/>
      <c r="CU720" s="1354">
        <f t="shared" si="19"/>
        <v>7</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7</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974.40000000000009</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 customHeight="1">
      <c r="B721" s="1355" t="s">
        <v>324</v>
      </c>
      <c r="C721" s="1356"/>
      <c r="D721" s="1356"/>
      <c r="E721" s="1356"/>
      <c r="F721" s="1357"/>
      <c r="G721" s="1364">
        <v>10</v>
      </c>
      <c r="H721" s="1365"/>
      <c r="I721" s="1365"/>
      <c r="J721" s="1366"/>
      <c r="K721" s="1607">
        <v>525</v>
      </c>
      <c r="L721" s="1608"/>
      <c r="M721" s="1608"/>
      <c r="N721" s="1609"/>
      <c r="O721" s="1468">
        <f>1854-T721</f>
        <v>1716</v>
      </c>
      <c r="P721" s="1469"/>
      <c r="Q721" s="1469"/>
      <c r="R721" s="1469"/>
      <c r="S721" s="1470"/>
      <c r="T721" s="1468">
        <f>Q832</f>
        <v>138</v>
      </c>
      <c r="U721" s="1469"/>
      <c r="V721" s="1469"/>
      <c r="W721" s="1470"/>
      <c r="X721" s="1358">
        <f t="shared" si="8"/>
        <v>1854</v>
      </c>
      <c r="Y721" s="1359"/>
      <c r="Z721" s="1359"/>
      <c r="AA721" s="1359"/>
      <c r="AB721" s="1360"/>
      <c r="AC721" s="1616">
        <v>0.5</v>
      </c>
      <c r="AD721" s="1617"/>
      <c r="AE721" s="1617"/>
      <c r="AF721" s="1617"/>
      <c r="AG721" s="1618"/>
      <c r="AH721" s="1361">
        <f t="shared" si="36"/>
        <v>0.5</v>
      </c>
      <c r="AI721" s="1362"/>
      <c r="AJ721" s="1363"/>
      <c r="AK721" s="1355" t="s">
        <v>2099</v>
      </c>
      <c r="AL721" s="1356"/>
      <c r="AM721" s="1356"/>
      <c r="AN721" s="1356"/>
      <c r="AO721" s="1357"/>
      <c r="AP721" s="3"/>
      <c r="AQ721" s="3"/>
      <c r="AR721" s="3"/>
      <c r="AS721" s="3"/>
      <c r="AY721" s="116"/>
      <c r="AZ721" s="118">
        <f t="shared" si="9"/>
        <v>3708</v>
      </c>
      <c r="BA721" s="3"/>
      <c r="BB721" s="3"/>
      <c r="BC721" s="3"/>
      <c r="BD721" s="3"/>
      <c r="BE721" s="204"/>
      <c r="BF721" s="294">
        <f t="shared" si="10"/>
        <v>10</v>
      </c>
      <c r="BG721" s="297">
        <f t="shared" si="11"/>
        <v>0.11235955056179775</v>
      </c>
      <c r="BH721" s="298">
        <f t="shared" si="12"/>
        <v>5.6179775280898875E-2</v>
      </c>
      <c r="BI721" s="3"/>
      <c r="BJ721" s="3"/>
      <c r="BK721" s="3"/>
      <c r="BL721" s="3"/>
      <c r="BM721" s="3"/>
      <c r="BN721" s="3"/>
      <c r="BS721" s="294">
        <f t="shared" si="13"/>
        <v>10</v>
      </c>
      <c r="BT721" s="297">
        <f t="shared" si="14"/>
        <v>0.11235955056179775</v>
      </c>
      <c r="BU721" s="298">
        <f t="shared" si="15"/>
        <v>5.6179775280898875E-2</v>
      </c>
      <c r="CC721" s="3"/>
      <c r="CD721" s="3"/>
      <c r="CE721" s="3"/>
      <c r="CF721" s="3"/>
      <c r="CG721" s="1351">
        <f t="shared" si="37"/>
        <v>1</v>
      </c>
      <c r="CH721" s="1353"/>
      <c r="CI721" s="1335">
        <f t="shared" si="38"/>
        <v>10</v>
      </c>
      <c r="CJ721" s="1337"/>
      <c r="CK721" s="1351">
        <f t="shared" si="16"/>
        <v>0</v>
      </c>
      <c r="CL721" s="1353"/>
      <c r="CM721" s="1335">
        <f t="shared" si="17"/>
        <v>0</v>
      </c>
      <c r="CN721" s="1337"/>
      <c r="CO721" s="3"/>
      <c r="CP721" s="1332">
        <f t="shared" si="18"/>
        <v>0</v>
      </c>
      <c r="CQ721" s="1333"/>
      <c r="CR721" s="1333"/>
      <c r="CS721" s="1333"/>
      <c r="CT721" s="1334"/>
      <c r="CU721" s="1354">
        <f t="shared" si="19"/>
        <v>10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1716</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 customHeight="1">
      <c r="B722" s="1355" t="s">
        <v>163</v>
      </c>
      <c r="C722" s="1356"/>
      <c r="D722" s="1356"/>
      <c r="E722" s="1356"/>
      <c r="F722" s="1357"/>
      <c r="G722" s="1364">
        <v>2</v>
      </c>
      <c r="H722" s="1365"/>
      <c r="I722" s="1365"/>
      <c r="J722" s="1366"/>
      <c r="K722" s="1607">
        <v>826</v>
      </c>
      <c r="L722" s="1608"/>
      <c r="M722" s="1608"/>
      <c r="N722" s="1609"/>
      <c r="O722" s="1468">
        <f>1335-T722</f>
        <v>1144</v>
      </c>
      <c r="P722" s="1469"/>
      <c r="Q722" s="1469"/>
      <c r="R722" s="1469"/>
      <c r="S722" s="1470"/>
      <c r="T722" s="1468">
        <f>U832</f>
        <v>191</v>
      </c>
      <c r="U722" s="1469"/>
      <c r="V722" s="1469"/>
      <c r="W722" s="1470"/>
      <c r="X722" s="1358">
        <f t="shared" si="8"/>
        <v>1335</v>
      </c>
      <c r="Y722" s="1359"/>
      <c r="Z722" s="1359"/>
      <c r="AA722" s="1359"/>
      <c r="AB722" s="1360"/>
      <c r="AC722" s="1616">
        <v>0.3</v>
      </c>
      <c r="AD722" s="1617"/>
      <c r="AE722" s="1617"/>
      <c r="AF722" s="1617"/>
      <c r="AG722" s="1618"/>
      <c r="AH722" s="1361">
        <f t="shared" si="36"/>
        <v>0.3</v>
      </c>
      <c r="AI722" s="1362"/>
      <c r="AJ722" s="1363"/>
      <c r="AK722" s="1355" t="s">
        <v>590</v>
      </c>
      <c r="AL722" s="1356"/>
      <c r="AM722" s="1356"/>
      <c r="AN722" s="1356"/>
      <c r="AO722" s="1357"/>
      <c r="AP722" s="3"/>
      <c r="AQ722" s="3"/>
      <c r="AR722" s="3"/>
      <c r="AS722" s="3"/>
      <c r="AY722" s="116"/>
      <c r="AZ722" s="118">
        <f t="shared" si="9"/>
        <v>4450</v>
      </c>
      <c r="BA722" s="3"/>
      <c r="BB722" s="3"/>
      <c r="BC722" s="3"/>
      <c r="BD722" s="3"/>
      <c r="BE722" s="204"/>
      <c r="BF722" s="294">
        <f t="shared" si="10"/>
        <v>2</v>
      </c>
      <c r="BG722" s="297">
        <f t="shared" si="11"/>
        <v>2.247191011235955E-2</v>
      </c>
      <c r="BH722" s="298">
        <f t="shared" si="12"/>
        <v>6.7415730337078645E-3</v>
      </c>
      <c r="BI722" s="3"/>
      <c r="BJ722" s="3"/>
      <c r="BK722" s="3"/>
      <c r="BL722" s="3"/>
      <c r="BM722" s="3"/>
      <c r="BN722" s="3"/>
      <c r="BS722" s="294">
        <f t="shared" si="13"/>
        <v>2</v>
      </c>
      <c r="BT722" s="297">
        <f t="shared" si="14"/>
        <v>2.247191011235955E-2</v>
      </c>
      <c r="BU722" s="298">
        <f t="shared" si="15"/>
        <v>6.7415730337078645E-3</v>
      </c>
      <c r="CC722" s="3"/>
      <c r="CD722" s="3"/>
      <c r="CE722" s="3"/>
      <c r="CF722" s="3"/>
      <c r="CG722" s="1351">
        <f t="shared" si="37"/>
        <v>0</v>
      </c>
      <c r="CH722" s="1353"/>
      <c r="CI722" s="1335">
        <f t="shared" si="38"/>
        <v>0</v>
      </c>
      <c r="CJ722" s="1337"/>
      <c r="CK722" s="1351">
        <f t="shared" si="16"/>
        <v>1</v>
      </c>
      <c r="CL722" s="1353"/>
      <c r="CM722" s="1335">
        <f t="shared" si="17"/>
        <v>2</v>
      </c>
      <c r="CN722" s="1337"/>
      <c r="CO722" s="3"/>
      <c r="CP722" s="1332">
        <f t="shared" si="18"/>
        <v>0</v>
      </c>
      <c r="CQ722" s="1333"/>
      <c r="CR722" s="1333"/>
      <c r="CS722" s="1333"/>
      <c r="CT722" s="1334"/>
      <c r="CU722" s="1354">
        <f t="shared" si="19"/>
        <v>0</v>
      </c>
      <c r="CV722" s="1354"/>
      <c r="CW722" s="1354"/>
      <c r="CX722" s="1354"/>
      <c r="CY722" s="1354"/>
      <c r="CZ722" s="1354">
        <f t="shared" si="20"/>
        <v>2</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2</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1144</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 customHeight="1">
      <c r="B723" s="1355" t="s">
        <v>163</v>
      </c>
      <c r="C723" s="1356"/>
      <c r="D723" s="1356"/>
      <c r="E723" s="1356"/>
      <c r="F723" s="1357"/>
      <c r="G723" s="1364">
        <v>3</v>
      </c>
      <c r="H723" s="1365"/>
      <c r="I723" s="1365"/>
      <c r="J723" s="1366"/>
      <c r="K723" s="1607">
        <v>826</v>
      </c>
      <c r="L723" s="1608"/>
      <c r="M723" s="1608"/>
      <c r="N723" s="1609"/>
      <c r="O723" s="1468">
        <f>2225-T723</f>
        <v>2034</v>
      </c>
      <c r="P723" s="1469"/>
      <c r="Q723" s="1469"/>
      <c r="R723" s="1469"/>
      <c r="S723" s="1470"/>
      <c r="T723" s="1468">
        <f>U832</f>
        <v>191</v>
      </c>
      <c r="U723" s="1469"/>
      <c r="V723" s="1469"/>
      <c r="W723" s="1470"/>
      <c r="X723" s="1358">
        <f t="shared" si="8"/>
        <v>2225</v>
      </c>
      <c r="Y723" s="1359"/>
      <c r="Z723" s="1359"/>
      <c r="AA723" s="1359"/>
      <c r="AB723" s="1360"/>
      <c r="AC723" s="1616">
        <v>0.5</v>
      </c>
      <c r="AD723" s="1617"/>
      <c r="AE723" s="1617"/>
      <c r="AF723" s="1617"/>
      <c r="AG723" s="1618"/>
      <c r="AH723" s="1361">
        <f t="shared" si="36"/>
        <v>0.5</v>
      </c>
      <c r="AI723" s="1362"/>
      <c r="AJ723" s="1363"/>
      <c r="AK723" s="1355" t="s">
        <v>2099</v>
      </c>
      <c r="AL723" s="1356"/>
      <c r="AM723" s="1356"/>
      <c r="AN723" s="1356"/>
      <c r="AO723" s="1357"/>
      <c r="AP723" s="3"/>
      <c r="AQ723" s="3"/>
      <c r="AR723" s="3"/>
      <c r="AS723" s="3"/>
      <c r="AY723" s="116"/>
      <c r="AZ723" s="118">
        <f t="shared" si="9"/>
        <v>4450</v>
      </c>
      <c r="BA723" s="3"/>
      <c r="BB723" s="3"/>
      <c r="BC723" s="3"/>
      <c r="BD723" s="3"/>
      <c r="BE723" s="204"/>
      <c r="BF723" s="294">
        <f t="shared" si="10"/>
        <v>3</v>
      </c>
      <c r="BG723" s="297">
        <f t="shared" si="11"/>
        <v>3.3707865168539325E-2</v>
      </c>
      <c r="BH723" s="298">
        <f t="shared" si="12"/>
        <v>1.6853932584269662E-2</v>
      </c>
      <c r="BI723" s="3"/>
      <c r="BJ723" s="3"/>
      <c r="BK723" s="3"/>
      <c r="BL723" s="3"/>
      <c r="BM723" s="3"/>
      <c r="BN723" s="3"/>
      <c r="BS723" s="294">
        <f t="shared" si="13"/>
        <v>3</v>
      </c>
      <c r="BT723" s="297">
        <f t="shared" si="14"/>
        <v>3.3707865168539325E-2</v>
      </c>
      <c r="BU723" s="298">
        <f t="shared" si="15"/>
        <v>1.6853932584269662E-2</v>
      </c>
      <c r="CC723" s="3"/>
      <c r="CD723" s="3"/>
      <c r="CE723" s="3"/>
      <c r="CF723" s="3"/>
      <c r="CG723" s="1351">
        <f t="shared" si="37"/>
        <v>1</v>
      </c>
      <c r="CH723" s="1353"/>
      <c r="CI723" s="1335">
        <f t="shared" si="38"/>
        <v>3</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3</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2034</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 customHeight="1">
      <c r="B724" s="1355" t="s">
        <v>163</v>
      </c>
      <c r="C724" s="1356"/>
      <c r="D724" s="1356"/>
      <c r="E724" s="1356"/>
      <c r="F724" s="1357"/>
      <c r="G724" s="1364">
        <v>2</v>
      </c>
      <c r="H724" s="1365"/>
      <c r="I724" s="1365"/>
      <c r="J724" s="1366"/>
      <c r="K724" s="1607">
        <v>826</v>
      </c>
      <c r="L724" s="1608"/>
      <c r="M724" s="1608"/>
      <c r="N724" s="1609"/>
      <c r="O724" s="1468">
        <f>1335-T724</f>
        <v>1144</v>
      </c>
      <c r="P724" s="1469"/>
      <c r="Q724" s="1469"/>
      <c r="R724" s="1469"/>
      <c r="S724" s="1470"/>
      <c r="T724" s="1468">
        <f>U832</f>
        <v>191</v>
      </c>
      <c r="U724" s="1469"/>
      <c r="V724" s="1469"/>
      <c r="W724" s="1470"/>
      <c r="X724" s="1358">
        <f t="shared" si="8"/>
        <v>1335</v>
      </c>
      <c r="Y724" s="1359"/>
      <c r="Z724" s="1359"/>
      <c r="AA724" s="1359"/>
      <c r="AB724" s="1360"/>
      <c r="AC724" s="1616">
        <v>0.3</v>
      </c>
      <c r="AD724" s="1617"/>
      <c r="AE724" s="1617"/>
      <c r="AF724" s="1617"/>
      <c r="AG724" s="1618"/>
      <c r="AH724" s="1361">
        <f t="shared" si="36"/>
        <v>0.3</v>
      </c>
      <c r="AI724" s="1362"/>
      <c r="AJ724" s="1363"/>
      <c r="AK724" s="1355" t="s">
        <v>1042</v>
      </c>
      <c r="AL724" s="1356"/>
      <c r="AM724" s="1356"/>
      <c r="AN724" s="1356"/>
      <c r="AO724" s="1357"/>
      <c r="AP724" s="3"/>
      <c r="AQ724" s="3"/>
      <c r="AR724" s="3"/>
      <c r="AS724" s="3"/>
      <c r="AY724" s="116"/>
      <c r="AZ724" s="118">
        <f t="shared" si="9"/>
        <v>4450</v>
      </c>
      <c r="BA724" s="3"/>
      <c r="BB724" s="3"/>
      <c r="BC724" s="3"/>
      <c r="BD724" s="3"/>
      <c r="BE724" s="204"/>
      <c r="BF724" s="294">
        <f t="shared" si="10"/>
        <v>2</v>
      </c>
      <c r="BG724" s="297">
        <f t="shared" si="11"/>
        <v>2.247191011235955E-2</v>
      </c>
      <c r="BH724" s="298">
        <f t="shared" si="12"/>
        <v>6.7415730337078645E-3</v>
      </c>
      <c r="BI724" s="3"/>
      <c r="BJ724" s="3"/>
      <c r="BK724" s="3"/>
      <c r="BL724" s="3"/>
      <c r="BM724" s="3"/>
      <c r="BN724" s="3"/>
      <c r="BS724" s="294">
        <f t="shared" si="13"/>
        <v>2</v>
      </c>
      <c r="BT724" s="297">
        <f t="shared" si="14"/>
        <v>2.247191011235955E-2</v>
      </c>
      <c r="BU724" s="298">
        <f t="shared" si="15"/>
        <v>6.7415730337078645E-3</v>
      </c>
      <c r="CC724" s="3"/>
      <c r="CE724" s="3"/>
      <c r="CF724" s="3"/>
      <c r="CG724" s="1351">
        <f t="shared" si="37"/>
        <v>0</v>
      </c>
      <c r="CH724" s="1353"/>
      <c r="CI724" s="1335">
        <f t="shared" si="38"/>
        <v>0</v>
      </c>
      <c r="CJ724" s="1337"/>
      <c r="CK724" s="1351">
        <f t="shared" si="16"/>
        <v>1</v>
      </c>
      <c r="CL724" s="1353"/>
      <c r="CM724" s="1335">
        <f t="shared" si="17"/>
        <v>2</v>
      </c>
      <c r="CN724" s="1337"/>
      <c r="CO724" s="3"/>
      <c r="CP724" s="1332">
        <f t="shared" si="18"/>
        <v>0</v>
      </c>
      <c r="CQ724" s="1333"/>
      <c r="CR724" s="1333"/>
      <c r="CS724" s="1333"/>
      <c r="CT724" s="1334"/>
      <c r="CU724" s="1354">
        <f t="shared" si="19"/>
        <v>0</v>
      </c>
      <c r="CV724" s="1354"/>
      <c r="CW724" s="1354"/>
      <c r="CX724" s="1354"/>
      <c r="CY724" s="1354"/>
      <c r="CZ724" s="1354">
        <f t="shared" si="20"/>
        <v>2</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2</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1144</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 customHeight="1">
      <c r="B725" s="1355" t="s">
        <v>163</v>
      </c>
      <c r="C725" s="1356"/>
      <c r="D725" s="1356"/>
      <c r="E725" s="1356"/>
      <c r="F725" s="1357"/>
      <c r="G725" s="1364">
        <v>16</v>
      </c>
      <c r="H725" s="1365"/>
      <c r="I725" s="1365"/>
      <c r="J725" s="1366"/>
      <c r="K725" s="1607">
        <v>826</v>
      </c>
      <c r="L725" s="1608"/>
      <c r="M725" s="1608"/>
      <c r="N725" s="1609"/>
      <c r="O725" s="1468">
        <f>2670-T725</f>
        <v>2479</v>
      </c>
      <c r="P725" s="1469"/>
      <c r="Q725" s="1469"/>
      <c r="R725" s="1469"/>
      <c r="S725" s="1470"/>
      <c r="T725" s="1468">
        <f>U832</f>
        <v>191</v>
      </c>
      <c r="U725" s="1469"/>
      <c r="V725" s="1469"/>
      <c r="W725" s="1470"/>
      <c r="X725" s="1358">
        <f t="shared" si="8"/>
        <v>2670</v>
      </c>
      <c r="Y725" s="1359"/>
      <c r="Z725" s="1359"/>
      <c r="AA725" s="1359"/>
      <c r="AB725" s="1360"/>
      <c r="AC725" s="1616">
        <v>0.6</v>
      </c>
      <c r="AD725" s="1617"/>
      <c r="AE725" s="1617"/>
      <c r="AF725" s="1617"/>
      <c r="AG725" s="1618"/>
      <c r="AH725" s="1361">
        <f t="shared" si="36"/>
        <v>0.6</v>
      </c>
      <c r="AI725" s="1362"/>
      <c r="AJ725" s="1363"/>
      <c r="AK725" s="1355" t="s">
        <v>590</v>
      </c>
      <c r="AL725" s="1356"/>
      <c r="AM725" s="1356"/>
      <c r="AN725" s="1356"/>
      <c r="AO725" s="1357"/>
      <c r="AP725" s="3"/>
      <c r="AQ725" s="3"/>
      <c r="AR725" s="3"/>
      <c r="AS725" s="3"/>
      <c r="AY725" s="1085"/>
      <c r="AZ725" s="118">
        <f t="shared" si="9"/>
        <v>4450</v>
      </c>
      <c r="BA725" s="3"/>
      <c r="BB725" s="3"/>
      <c r="BC725" s="3"/>
      <c r="BD725" s="3"/>
      <c r="BE725" s="204"/>
      <c r="BF725" s="294">
        <f t="shared" si="10"/>
        <v>16</v>
      </c>
      <c r="BG725" s="297">
        <f t="shared" si="11"/>
        <v>0.1797752808988764</v>
      </c>
      <c r="BH725" s="298">
        <f t="shared" si="12"/>
        <v>0.10786516853932583</v>
      </c>
      <c r="BI725" s="3"/>
      <c r="BJ725" s="3"/>
      <c r="BK725" s="3"/>
      <c r="BL725" s="3"/>
      <c r="BM725" s="3"/>
      <c r="BN725" s="3"/>
      <c r="BS725" s="294">
        <f t="shared" si="13"/>
        <v>16</v>
      </c>
      <c r="BT725" s="297">
        <f t="shared" si="14"/>
        <v>0.1797752808988764</v>
      </c>
      <c r="BU725" s="298">
        <f t="shared" si="15"/>
        <v>0.10786516853932583</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16</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2479</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 customHeight="1">
      <c r="B726" s="1355" t="s">
        <v>164</v>
      </c>
      <c r="C726" s="1356"/>
      <c r="D726" s="1356"/>
      <c r="E726" s="1356"/>
      <c r="F726" s="1357"/>
      <c r="G726" s="1364">
        <v>1</v>
      </c>
      <c r="H726" s="1365"/>
      <c r="I726" s="1365"/>
      <c r="J726" s="1366"/>
      <c r="K726" s="1607">
        <v>998</v>
      </c>
      <c r="L726" s="1608"/>
      <c r="M726" s="1608"/>
      <c r="N726" s="1609"/>
      <c r="O726" s="1468">
        <f>1542.49-T726</f>
        <v>1294.49</v>
      </c>
      <c r="P726" s="1469"/>
      <c r="Q726" s="1469"/>
      <c r="R726" s="1469"/>
      <c r="S726" s="1470"/>
      <c r="T726" s="1468">
        <f>Y832</f>
        <v>248</v>
      </c>
      <c r="U726" s="1469"/>
      <c r="V726" s="1469"/>
      <c r="W726" s="1470"/>
      <c r="X726" s="1358">
        <f t="shared" si="8"/>
        <v>1542.49</v>
      </c>
      <c r="Y726" s="1359"/>
      <c r="Z726" s="1359"/>
      <c r="AA726" s="1359"/>
      <c r="AB726" s="1360"/>
      <c r="AC726" s="1616">
        <v>0.3</v>
      </c>
      <c r="AD726" s="1617"/>
      <c r="AE726" s="1617"/>
      <c r="AF726" s="1617"/>
      <c r="AG726" s="1618"/>
      <c r="AH726" s="1361">
        <f t="shared" si="36"/>
        <v>0.29997860754570205</v>
      </c>
      <c r="AI726" s="1362"/>
      <c r="AJ726" s="1363"/>
      <c r="AK726" s="1355" t="s">
        <v>590</v>
      </c>
      <c r="AL726" s="1356"/>
      <c r="AM726" s="1356"/>
      <c r="AN726" s="1356"/>
      <c r="AO726" s="1357"/>
      <c r="AP726" s="3"/>
      <c r="AQ726" s="3"/>
      <c r="AR726" s="3"/>
      <c r="AS726" s="3"/>
      <c r="AY726" s="1085"/>
      <c r="AZ726" s="118">
        <f t="shared" si="9"/>
        <v>5142</v>
      </c>
      <c r="BA726" s="3"/>
      <c r="BB726" s="3"/>
      <c r="BC726" s="3"/>
      <c r="BD726" s="3"/>
      <c r="BE726" s="204"/>
      <c r="BF726" s="294">
        <f t="shared" si="10"/>
        <v>1</v>
      </c>
      <c r="BG726" s="297">
        <f t="shared" si="11"/>
        <v>1.1235955056179775E-2</v>
      </c>
      <c r="BH726" s="298">
        <f t="shared" si="12"/>
        <v>3.3707865168539322E-3</v>
      </c>
      <c r="BI726" s="3"/>
      <c r="BJ726" s="3"/>
      <c r="BK726" s="3"/>
      <c r="BL726" s="3"/>
      <c r="BM726" s="3"/>
      <c r="BN726" s="3"/>
      <c r="BS726" s="294">
        <f t="shared" si="13"/>
        <v>1</v>
      </c>
      <c r="BT726" s="297">
        <f t="shared" si="14"/>
        <v>1.1235955056179775E-2</v>
      </c>
      <c r="BU726" s="298">
        <f t="shared" si="15"/>
        <v>3.3705461521988992E-3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1</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1</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1</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1294.49</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 customHeight="1">
      <c r="A727" s="4"/>
      <c r="B727" s="1355" t="s">
        <v>164</v>
      </c>
      <c r="C727" s="1356"/>
      <c r="D727" s="1356"/>
      <c r="E727" s="1356"/>
      <c r="F727" s="1357"/>
      <c r="G727" s="1364">
        <v>2</v>
      </c>
      <c r="H727" s="1365"/>
      <c r="I727" s="1365"/>
      <c r="J727" s="1366"/>
      <c r="K727" s="1607">
        <v>998</v>
      </c>
      <c r="L727" s="1608"/>
      <c r="M727" s="1608"/>
      <c r="N727" s="1609"/>
      <c r="O727" s="1468">
        <f>1542.6-T727</f>
        <v>1294.5999999999999</v>
      </c>
      <c r="P727" s="1469"/>
      <c r="Q727" s="1469"/>
      <c r="R727" s="1469"/>
      <c r="S727" s="1470"/>
      <c r="T727" s="1468">
        <f>Y832</f>
        <v>248</v>
      </c>
      <c r="U727" s="1469"/>
      <c r="V727" s="1469"/>
      <c r="W727" s="1470"/>
      <c r="X727" s="1358">
        <f t="shared" si="8"/>
        <v>1542.6</v>
      </c>
      <c r="Y727" s="1359"/>
      <c r="Z727" s="1359"/>
      <c r="AA727" s="1359"/>
      <c r="AB727" s="1360"/>
      <c r="AC727" s="1616">
        <v>0.3</v>
      </c>
      <c r="AD727" s="1617"/>
      <c r="AE727" s="1617"/>
      <c r="AF727" s="1617"/>
      <c r="AG727" s="1618"/>
      <c r="AH727" s="1361">
        <f t="shared" si="36"/>
        <v>0.3</v>
      </c>
      <c r="AI727" s="1362"/>
      <c r="AJ727" s="1363"/>
      <c r="AK727" s="1355" t="s">
        <v>590</v>
      </c>
      <c r="AL727" s="1356"/>
      <c r="AM727" s="1356"/>
      <c r="AN727" s="1356"/>
      <c r="AO727" s="1357"/>
      <c r="AP727" s="3"/>
      <c r="AQ727" s="3"/>
      <c r="AR727" s="3"/>
      <c r="AS727" s="3"/>
      <c r="AY727" s="1085"/>
      <c r="AZ727" s="118">
        <f t="shared" si="9"/>
        <v>5142</v>
      </c>
      <c r="BA727" s="3"/>
      <c r="BB727" s="3"/>
      <c r="BC727" s="3"/>
      <c r="BD727" s="3"/>
      <c r="BE727" s="204"/>
      <c r="BF727" s="294">
        <f t="shared" si="10"/>
        <v>2</v>
      </c>
      <c r="BG727" s="297">
        <f t="shared" si="11"/>
        <v>2.247191011235955E-2</v>
      </c>
      <c r="BH727" s="298">
        <f t="shared" si="12"/>
        <v>6.7415730337078645E-3</v>
      </c>
      <c r="BI727" s="3"/>
      <c r="BJ727" s="3"/>
      <c r="BK727" s="3"/>
      <c r="BL727" s="3"/>
      <c r="BM727" s="3"/>
      <c r="BN727" s="3"/>
      <c r="BS727" s="294">
        <f t="shared" si="13"/>
        <v>2</v>
      </c>
      <c r="BT727" s="297">
        <f t="shared" si="14"/>
        <v>2.247191011235955E-2</v>
      </c>
      <c r="BU727" s="298">
        <f t="shared" si="15"/>
        <v>6.7415730337078645E-3</v>
      </c>
      <c r="BV727" s="3"/>
      <c r="BW727" s="3"/>
      <c r="BX727" s="3"/>
      <c r="BY727" s="3"/>
      <c r="BZ727" s="3"/>
      <c r="CA727" s="3"/>
      <c r="CB727" s="3"/>
      <c r="CC727" s="3"/>
      <c r="CE727" s="3"/>
      <c r="CF727" s="3"/>
      <c r="CG727" s="1351">
        <f t="shared" si="37"/>
        <v>0</v>
      </c>
      <c r="CH727" s="1353"/>
      <c r="CI727" s="1335">
        <f t="shared" si="38"/>
        <v>0</v>
      </c>
      <c r="CJ727" s="1337"/>
      <c r="CK727" s="1351">
        <f t="shared" si="16"/>
        <v>1</v>
      </c>
      <c r="CL727" s="1353"/>
      <c r="CM727" s="1335">
        <f t="shared" si="17"/>
        <v>2</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2</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2</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1294.5999999999999</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 customHeight="1">
      <c r="A728" s="4"/>
      <c r="B728" s="1355" t="s">
        <v>164</v>
      </c>
      <c r="C728" s="1356"/>
      <c r="D728" s="1356"/>
      <c r="E728" s="1356"/>
      <c r="F728" s="1357"/>
      <c r="G728" s="1364">
        <v>1</v>
      </c>
      <c r="H728" s="1365"/>
      <c r="I728" s="1365"/>
      <c r="J728" s="1366"/>
      <c r="K728" s="1607">
        <v>998</v>
      </c>
      <c r="L728" s="1608"/>
      <c r="M728" s="1608"/>
      <c r="N728" s="1609"/>
      <c r="O728" s="1468">
        <f>2571-T728</f>
        <v>2323</v>
      </c>
      <c r="P728" s="1469"/>
      <c r="Q728" s="1469"/>
      <c r="R728" s="1469"/>
      <c r="S728" s="1470"/>
      <c r="T728" s="1468">
        <f>Y832</f>
        <v>248</v>
      </c>
      <c r="U728" s="1469"/>
      <c r="V728" s="1469"/>
      <c r="W728" s="1470"/>
      <c r="X728" s="1358">
        <f t="shared" si="8"/>
        <v>2571</v>
      </c>
      <c r="Y728" s="1359"/>
      <c r="Z728" s="1359"/>
      <c r="AA728" s="1359"/>
      <c r="AB728" s="1360"/>
      <c r="AC728" s="1616">
        <v>0.5</v>
      </c>
      <c r="AD728" s="1617"/>
      <c r="AE728" s="1617"/>
      <c r="AF728" s="1617"/>
      <c r="AG728" s="1618"/>
      <c r="AH728" s="1361">
        <f t="shared" si="36"/>
        <v>0.5</v>
      </c>
      <c r="AI728" s="1362"/>
      <c r="AJ728" s="1363"/>
      <c r="AK728" s="1355" t="s">
        <v>590</v>
      </c>
      <c r="AL728" s="1356"/>
      <c r="AM728" s="1356"/>
      <c r="AN728" s="1356"/>
      <c r="AO728" s="1357"/>
      <c r="AP728" s="3"/>
      <c r="AQ728" s="3"/>
      <c r="AR728" s="3"/>
      <c r="AS728" s="3"/>
      <c r="AY728" s="1085"/>
      <c r="AZ728" s="118">
        <f t="shared" si="9"/>
        <v>5142</v>
      </c>
      <c r="BA728" s="3"/>
      <c r="BB728" s="3"/>
      <c r="BC728" s="3"/>
      <c r="BD728" s="3"/>
      <c r="BE728" s="204"/>
      <c r="BF728" s="294">
        <f t="shared" si="10"/>
        <v>1</v>
      </c>
      <c r="BG728" s="297">
        <f t="shared" si="11"/>
        <v>1.1235955056179775E-2</v>
      </c>
      <c r="BH728" s="298">
        <f t="shared" si="12"/>
        <v>5.6179775280898875E-3</v>
      </c>
      <c r="BI728" s="3"/>
      <c r="BJ728" s="3"/>
      <c r="BK728" s="3"/>
      <c r="BL728" s="3"/>
      <c r="BM728" s="3"/>
      <c r="BN728" s="3"/>
      <c r="BS728" s="294">
        <f t="shared" si="13"/>
        <v>1</v>
      </c>
      <c r="BT728" s="297">
        <f t="shared" si="14"/>
        <v>1.1235955056179775E-2</v>
      </c>
      <c r="BU728" s="298">
        <f t="shared" si="15"/>
        <v>5.6179775280898875E-3</v>
      </c>
      <c r="BV728" s="3"/>
      <c r="BW728" s="3"/>
      <c r="BX728" s="3"/>
      <c r="BY728" s="3"/>
      <c r="BZ728" s="3"/>
      <c r="CA728" s="3"/>
      <c r="CB728" s="3"/>
      <c r="CC728" s="3"/>
      <c r="CE728" s="3"/>
      <c r="CF728" s="3"/>
      <c r="CG728" s="1351">
        <f t="shared" si="37"/>
        <v>1</v>
      </c>
      <c r="CH728" s="1353"/>
      <c r="CI728" s="1335">
        <f t="shared" si="38"/>
        <v>1</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1</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2323</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 customHeight="1">
      <c r="A729" s="4"/>
      <c r="B729" s="1355" t="s">
        <v>164</v>
      </c>
      <c r="C729" s="1356"/>
      <c r="D729" s="1356"/>
      <c r="E729" s="1356"/>
      <c r="F729" s="1357"/>
      <c r="G729" s="1364">
        <v>19</v>
      </c>
      <c r="H729" s="1365"/>
      <c r="I729" s="1365"/>
      <c r="J729" s="1366"/>
      <c r="K729" s="1607">
        <v>998</v>
      </c>
      <c r="L729" s="1608"/>
      <c r="M729" s="1608"/>
      <c r="N729" s="1609"/>
      <c r="O729" s="1468">
        <f>3085.2-T729</f>
        <v>2837.2</v>
      </c>
      <c r="P729" s="1469"/>
      <c r="Q729" s="1469"/>
      <c r="R729" s="1469"/>
      <c r="S729" s="1470"/>
      <c r="T729" s="1468">
        <f>Y832</f>
        <v>248</v>
      </c>
      <c r="U729" s="1469"/>
      <c r="V729" s="1469"/>
      <c r="W729" s="1470"/>
      <c r="X729" s="1358">
        <f t="shared" si="8"/>
        <v>3085.2</v>
      </c>
      <c r="Y729" s="1359"/>
      <c r="Z729" s="1359"/>
      <c r="AA729" s="1359"/>
      <c r="AB729" s="1360"/>
      <c r="AC729" s="1616">
        <v>0.6</v>
      </c>
      <c r="AD729" s="1617"/>
      <c r="AE729" s="1617"/>
      <c r="AF729" s="1617"/>
      <c r="AG729" s="1618"/>
      <c r="AH729" s="1361">
        <f t="shared" si="36"/>
        <v>0.6</v>
      </c>
      <c r="AI729" s="1362"/>
      <c r="AJ729" s="1363"/>
      <c r="AK729" s="1355" t="s">
        <v>590</v>
      </c>
      <c r="AL729" s="1356"/>
      <c r="AM729" s="1356"/>
      <c r="AN729" s="1356"/>
      <c r="AO729" s="1357"/>
      <c r="AP729" s="3"/>
      <c r="AQ729" s="3"/>
      <c r="AR729" s="3"/>
      <c r="AS729" s="3"/>
      <c r="AY729" s="1085"/>
      <c r="AZ729" s="118">
        <f t="shared" si="9"/>
        <v>5142</v>
      </c>
      <c r="BA729" s="3"/>
      <c r="BB729" s="3"/>
      <c r="BC729" s="3"/>
      <c r="BD729" s="3"/>
      <c r="BE729" s="204"/>
      <c r="BF729" s="294">
        <f t="shared" si="10"/>
        <v>19</v>
      </c>
      <c r="BG729" s="297">
        <f t="shared" si="11"/>
        <v>0.21348314606741572</v>
      </c>
      <c r="BH729" s="298">
        <f t="shared" si="12"/>
        <v>0.12808988764044943</v>
      </c>
      <c r="BI729" s="3"/>
      <c r="BJ729" s="3"/>
      <c r="BK729" s="3"/>
      <c r="BL729" s="3"/>
      <c r="BM729" s="3"/>
      <c r="BN729" s="3"/>
      <c r="BS729" s="294">
        <f t="shared" si="13"/>
        <v>19</v>
      </c>
      <c r="BT729" s="297">
        <f t="shared" si="14"/>
        <v>0.21348314606741572</v>
      </c>
      <c r="BU729" s="298">
        <f t="shared" si="15"/>
        <v>0.12808988764044943</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19</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2837.2</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 customHeight="1">
      <c r="B730" s="1355" t="s">
        <v>165</v>
      </c>
      <c r="C730" s="1356"/>
      <c r="D730" s="1356"/>
      <c r="E730" s="1356"/>
      <c r="F730" s="1357"/>
      <c r="G730" s="1364">
        <v>1</v>
      </c>
      <c r="H730" s="1365"/>
      <c r="I730" s="1365"/>
      <c r="J730" s="1366"/>
      <c r="K730" s="1607">
        <v>1260</v>
      </c>
      <c r="L730" s="1608"/>
      <c r="M730" s="1608"/>
      <c r="N730" s="1609"/>
      <c r="O730" s="1468">
        <f>1720.2-T730</f>
        <v>1412.2</v>
      </c>
      <c r="P730" s="1469"/>
      <c r="Q730" s="1469"/>
      <c r="R730" s="1469"/>
      <c r="S730" s="1470"/>
      <c r="T730" s="1468">
        <f>AC832</f>
        <v>308</v>
      </c>
      <c r="U730" s="1469"/>
      <c r="V730" s="1469"/>
      <c r="W730" s="1470"/>
      <c r="X730" s="1358">
        <f t="shared" si="8"/>
        <v>1720.2</v>
      </c>
      <c r="Y730" s="1359"/>
      <c r="Z730" s="1359"/>
      <c r="AA730" s="1359"/>
      <c r="AB730" s="1360"/>
      <c r="AC730" s="1616">
        <v>0.3</v>
      </c>
      <c r="AD730" s="1617"/>
      <c r="AE730" s="1617"/>
      <c r="AF730" s="1617"/>
      <c r="AG730" s="1618"/>
      <c r="AH730" s="1361">
        <f t="shared" si="36"/>
        <v>0.3</v>
      </c>
      <c r="AI730" s="1362"/>
      <c r="AJ730" s="1363"/>
      <c r="AK730" s="1355" t="s">
        <v>590</v>
      </c>
      <c r="AL730" s="1356"/>
      <c r="AM730" s="1356"/>
      <c r="AN730" s="1356"/>
      <c r="AO730" s="1357"/>
      <c r="AP730" s="3"/>
      <c r="AQ730" s="3"/>
      <c r="AR730" s="3"/>
      <c r="AS730" s="3"/>
      <c r="AY730" s="1085"/>
      <c r="AZ730" s="118">
        <f t="shared" si="9"/>
        <v>5734</v>
      </c>
      <c r="BA730" s="3"/>
      <c r="BB730" s="3"/>
      <c r="BC730" s="3"/>
      <c r="BD730" s="3"/>
      <c r="BE730" s="204"/>
      <c r="BF730" s="294">
        <f t="shared" si="10"/>
        <v>1</v>
      </c>
      <c r="BG730" s="297">
        <f t="shared" si="11"/>
        <v>1.1235955056179775E-2</v>
      </c>
      <c r="BH730" s="298">
        <f t="shared" si="12"/>
        <v>3.3707865168539322E-3</v>
      </c>
      <c r="BI730" s="3"/>
      <c r="BJ730" s="3"/>
      <c r="BK730" s="3"/>
      <c r="BL730" s="3"/>
      <c r="BM730" s="3"/>
      <c r="BN730" s="3"/>
      <c r="BS730" s="294">
        <f t="shared" si="13"/>
        <v>1</v>
      </c>
      <c r="BT730" s="297">
        <f t="shared" si="14"/>
        <v>1.1235955056179775E-2</v>
      </c>
      <c r="BU730" s="298">
        <f t="shared" si="15"/>
        <v>3.3707865168539322E-3</v>
      </c>
      <c r="BV730" s="3"/>
      <c r="BW730" s="3"/>
      <c r="BX730" s="3"/>
      <c r="BY730" s="3"/>
      <c r="BZ730" s="3"/>
      <c r="CA730" s="3"/>
      <c r="CB730" s="3"/>
      <c r="CC730" s="3"/>
      <c r="CE730" s="3"/>
      <c r="CF730" s="3"/>
      <c r="CG730" s="1351">
        <f t="shared" si="37"/>
        <v>0</v>
      </c>
      <c r="CH730" s="1353"/>
      <c r="CI730" s="1335">
        <f t="shared" si="38"/>
        <v>0</v>
      </c>
      <c r="CJ730" s="1337"/>
      <c r="CK730" s="1351">
        <f t="shared" si="16"/>
        <v>1</v>
      </c>
      <c r="CL730" s="1353"/>
      <c r="CM730" s="1335">
        <f t="shared" si="17"/>
        <v>1</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1</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1</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f t="shared" si="34"/>
        <v>1412.2</v>
      </c>
      <c r="FU730" s="1352"/>
      <c r="FV730" s="1352"/>
      <c r="FW730" s="1352"/>
      <c r="FX730" s="1353"/>
      <c r="FY730" s="1351" t="str">
        <f t="shared" si="35"/>
        <v/>
      </c>
      <c r="FZ730" s="1352"/>
      <c r="GA730" s="1352"/>
      <c r="GB730" s="1352"/>
      <c r="GC730" s="1353"/>
    </row>
    <row r="731" spans="1:185" ht="12.9" customHeight="1">
      <c r="B731" s="1355" t="s">
        <v>165</v>
      </c>
      <c r="C731" s="1356"/>
      <c r="D731" s="1356"/>
      <c r="E731" s="1356"/>
      <c r="F731" s="1357"/>
      <c r="G731" s="1364">
        <v>9</v>
      </c>
      <c r="H731" s="1365"/>
      <c r="I731" s="1365"/>
      <c r="J731" s="1366"/>
      <c r="K731" s="1607">
        <v>1260</v>
      </c>
      <c r="L731" s="1608"/>
      <c r="M731" s="1608"/>
      <c r="N731" s="1609"/>
      <c r="O731" s="1468">
        <f>3440.5-T731</f>
        <v>3132.5</v>
      </c>
      <c r="P731" s="1469"/>
      <c r="Q731" s="1469"/>
      <c r="R731" s="1469"/>
      <c r="S731" s="1470"/>
      <c r="T731" s="1468">
        <f>AC832</f>
        <v>308</v>
      </c>
      <c r="U731" s="1469"/>
      <c r="V731" s="1469"/>
      <c r="W731" s="1470"/>
      <c r="X731" s="1358">
        <f t="shared" si="8"/>
        <v>3440.5</v>
      </c>
      <c r="Y731" s="1359"/>
      <c r="Z731" s="1359"/>
      <c r="AA731" s="1359"/>
      <c r="AB731" s="1360"/>
      <c r="AC731" s="1616">
        <v>0.6</v>
      </c>
      <c r="AD731" s="1617"/>
      <c r="AE731" s="1617"/>
      <c r="AF731" s="1617"/>
      <c r="AG731" s="1618"/>
      <c r="AH731" s="1361">
        <f t="shared" si="36"/>
        <v>0.6000174398325776</v>
      </c>
      <c r="AI731" s="1362"/>
      <c r="AJ731" s="1363"/>
      <c r="AK731" s="1355" t="s">
        <v>590</v>
      </c>
      <c r="AL731" s="1356"/>
      <c r="AM731" s="1356"/>
      <c r="AN731" s="1356"/>
      <c r="AO731" s="1357"/>
      <c r="AP731" s="3"/>
      <c r="AQ731" s="3"/>
      <c r="AR731" s="3"/>
      <c r="AS731" s="3"/>
      <c r="AY731" s="1085"/>
      <c r="AZ731" s="118">
        <f t="shared" si="9"/>
        <v>5734</v>
      </c>
      <c r="BA731" s="3"/>
      <c r="BB731" s="3"/>
      <c r="BC731" s="3"/>
      <c r="BD731" s="3"/>
      <c r="BE731" s="204"/>
      <c r="BF731" s="294">
        <f t="shared" si="10"/>
        <v>9</v>
      </c>
      <c r="BG731" s="297">
        <f t="shared" si="11"/>
        <v>0.10112359550561797</v>
      </c>
      <c r="BH731" s="298">
        <f t="shared" si="12"/>
        <v>6.0674157303370779E-2</v>
      </c>
      <c r="BI731" s="3"/>
      <c r="BJ731" s="3"/>
      <c r="BK731" s="3"/>
      <c r="BL731" s="3"/>
      <c r="BM731" s="3"/>
      <c r="BN731" s="3"/>
      <c r="BS731" s="294">
        <f t="shared" si="13"/>
        <v>9</v>
      </c>
      <c r="BT731" s="297">
        <f t="shared" si="14"/>
        <v>0.10112359550561797</v>
      </c>
      <c r="BU731" s="298">
        <f t="shared" si="15"/>
        <v>6.0675920881946045E-2</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9</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f t="shared" si="34"/>
        <v>3132.5</v>
      </c>
      <c r="FU731" s="1352"/>
      <c r="FV731" s="1352"/>
      <c r="FW731" s="1352"/>
      <c r="FX731" s="1353"/>
      <c r="FY731" s="1351" t="str">
        <f t="shared" si="35"/>
        <v/>
      </c>
      <c r="FZ731" s="1352"/>
      <c r="GA731" s="1352"/>
      <c r="GB731" s="1352"/>
      <c r="GC731" s="1353"/>
    </row>
    <row r="732" spans="1:185" ht="12.9" customHeight="1">
      <c r="B732" s="1355"/>
      <c r="C732" s="1356"/>
      <c r="D732" s="1356"/>
      <c r="E732" s="1356"/>
      <c r="F732" s="1357"/>
      <c r="G732" s="1364"/>
      <c r="H732" s="1365"/>
      <c r="I732" s="1365"/>
      <c r="J732" s="1366"/>
      <c r="K732" s="1607"/>
      <c r="L732" s="1608"/>
      <c r="M732" s="1608"/>
      <c r="N732" s="1609"/>
      <c r="O732" s="1468"/>
      <c r="P732" s="1469"/>
      <c r="Q732" s="1469"/>
      <c r="R732" s="1469"/>
      <c r="S732" s="1470"/>
      <c r="T732" s="1468"/>
      <c r="U732" s="1469"/>
      <c r="V732" s="1469"/>
      <c r="W732" s="1470"/>
      <c r="X732" s="1358">
        <f t="shared" si="8"/>
        <v>0</v>
      </c>
      <c r="Y732" s="1359"/>
      <c r="Z732" s="1359"/>
      <c r="AA732" s="1359"/>
      <c r="AB732" s="1360"/>
      <c r="AC732" s="1616"/>
      <c r="AD732" s="1617"/>
      <c r="AE732" s="1617"/>
      <c r="AF732" s="1617"/>
      <c r="AG732" s="1618"/>
      <c r="AH732" s="1361" t="str">
        <f t="shared" si="36"/>
        <v/>
      </c>
      <c r="AI732" s="1362"/>
      <c r="AJ732" s="1363"/>
      <c r="AK732" s="1355" t="s">
        <v>590</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 customHeight="1">
      <c r="B733" s="1355"/>
      <c r="C733" s="1356"/>
      <c r="D733" s="1356"/>
      <c r="E733" s="1356"/>
      <c r="F733" s="1357"/>
      <c r="G733" s="1364"/>
      <c r="H733" s="1365"/>
      <c r="I733" s="1365"/>
      <c r="J733" s="1366"/>
      <c r="K733" s="1607"/>
      <c r="L733" s="1608"/>
      <c r="M733" s="1608"/>
      <c r="N733" s="1609"/>
      <c r="O733" s="1468"/>
      <c r="P733" s="1469"/>
      <c r="Q733" s="1469"/>
      <c r="R733" s="1469"/>
      <c r="S733" s="1470"/>
      <c r="T733" s="1468"/>
      <c r="U733" s="1469"/>
      <c r="V733" s="1469"/>
      <c r="W733" s="1470"/>
      <c r="X733" s="1358">
        <f t="shared" si="8"/>
        <v>0</v>
      </c>
      <c r="Y733" s="1359"/>
      <c r="Z733" s="1359"/>
      <c r="AA733" s="1359"/>
      <c r="AB733" s="1360"/>
      <c r="AC733" s="1616"/>
      <c r="AD733" s="1617"/>
      <c r="AE733" s="1617"/>
      <c r="AF733" s="1617"/>
      <c r="AG733" s="1618"/>
      <c r="AH733" s="1361" t="str">
        <f t="shared" si="36"/>
        <v/>
      </c>
      <c r="AI733" s="1362"/>
      <c r="AJ733" s="1363"/>
      <c r="AK733" s="1355" t="s">
        <v>590</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 customHeight="1">
      <c r="B734" s="1355"/>
      <c r="C734" s="1356"/>
      <c r="D734" s="1356"/>
      <c r="E734" s="1356"/>
      <c r="F734" s="1357"/>
      <c r="G734" s="1364"/>
      <c r="H734" s="1365"/>
      <c r="I734" s="1365"/>
      <c r="J734" s="1366"/>
      <c r="K734" s="1607"/>
      <c r="L734" s="1608"/>
      <c r="M734" s="1608"/>
      <c r="N734" s="1609"/>
      <c r="O734" s="1468"/>
      <c r="P734" s="1469"/>
      <c r="Q734" s="1469"/>
      <c r="R734" s="1469"/>
      <c r="S734" s="1470"/>
      <c r="T734" s="1468"/>
      <c r="U734" s="1469"/>
      <c r="V734" s="1469"/>
      <c r="W734" s="1470"/>
      <c r="X734" s="1358">
        <f t="shared" si="8"/>
        <v>0</v>
      </c>
      <c r="Y734" s="1359"/>
      <c r="Z734" s="1359"/>
      <c r="AA734" s="1359"/>
      <c r="AB734" s="1360"/>
      <c r="AC734" s="1616"/>
      <c r="AD734" s="1617"/>
      <c r="AE734" s="1617"/>
      <c r="AF734" s="1617"/>
      <c r="AG734" s="1618"/>
      <c r="AH734" s="1361" t="str">
        <f t="shared" si="36"/>
        <v/>
      </c>
      <c r="AI734" s="1362"/>
      <c r="AJ734" s="1363"/>
      <c r="AK734" s="1355" t="s">
        <v>590</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 customHeight="1">
      <c r="B735" s="1355"/>
      <c r="C735" s="1356"/>
      <c r="D735" s="1356"/>
      <c r="E735" s="1356"/>
      <c r="F735" s="1357"/>
      <c r="G735" s="1364"/>
      <c r="H735" s="1365"/>
      <c r="I735" s="1365"/>
      <c r="J735" s="1366"/>
      <c r="K735" s="1607"/>
      <c r="L735" s="1608"/>
      <c r="M735" s="1608"/>
      <c r="N735" s="1609"/>
      <c r="O735" s="1468"/>
      <c r="P735" s="1469"/>
      <c r="Q735" s="1469"/>
      <c r="R735" s="1469"/>
      <c r="S735" s="1470"/>
      <c r="T735" s="1468"/>
      <c r="U735" s="1469"/>
      <c r="V735" s="1469"/>
      <c r="W735" s="1470"/>
      <c r="X735" s="1358">
        <f t="shared" si="8"/>
        <v>0</v>
      </c>
      <c r="Y735" s="1359"/>
      <c r="Z735" s="1359"/>
      <c r="AA735" s="1359"/>
      <c r="AB735" s="1360"/>
      <c r="AC735" s="1616"/>
      <c r="AD735" s="1617"/>
      <c r="AE735" s="1617"/>
      <c r="AF735" s="1617"/>
      <c r="AG735" s="1618"/>
      <c r="AH735" s="1361" t="str">
        <f t="shared" si="36"/>
        <v/>
      </c>
      <c r="AI735" s="1362"/>
      <c r="AJ735" s="1363"/>
      <c r="AK735" s="1355" t="s">
        <v>590</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 customHeight="1">
      <c r="B736" s="1355"/>
      <c r="C736" s="1356"/>
      <c r="D736" s="1356"/>
      <c r="E736" s="1356"/>
      <c r="F736" s="1357"/>
      <c r="G736" s="1364"/>
      <c r="H736" s="1365"/>
      <c r="I736" s="1365"/>
      <c r="J736" s="1366"/>
      <c r="K736" s="1607"/>
      <c r="L736" s="1608"/>
      <c r="M736" s="1608"/>
      <c r="N736" s="1609"/>
      <c r="O736" s="1468"/>
      <c r="P736" s="1469"/>
      <c r="Q736" s="1469"/>
      <c r="R736" s="1469"/>
      <c r="S736" s="1470"/>
      <c r="T736" s="1468"/>
      <c r="U736" s="1469"/>
      <c r="V736" s="1469"/>
      <c r="W736" s="1470"/>
      <c r="X736" s="1358">
        <f t="shared" si="8"/>
        <v>0</v>
      </c>
      <c r="Y736" s="1359"/>
      <c r="Z736" s="1359"/>
      <c r="AA736" s="1359"/>
      <c r="AB736" s="1360"/>
      <c r="AC736" s="1616"/>
      <c r="AD736" s="1617"/>
      <c r="AE736" s="1617"/>
      <c r="AF736" s="1617"/>
      <c r="AG736" s="1618"/>
      <c r="AH736" s="1361" t="str">
        <f t="shared" si="36"/>
        <v/>
      </c>
      <c r="AI736" s="1362"/>
      <c r="AJ736" s="1363"/>
      <c r="AK736" s="1355" t="s">
        <v>590</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 customHeight="1">
      <c r="B737" s="1355"/>
      <c r="C737" s="1356"/>
      <c r="D737" s="1356"/>
      <c r="E737" s="1356"/>
      <c r="F737" s="1357"/>
      <c r="G737" s="1364"/>
      <c r="H737" s="1365"/>
      <c r="I737" s="1365"/>
      <c r="J737" s="1366"/>
      <c r="K737" s="1607"/>
      <c r="L737" s="1608"/>
      <c r="M737" s="1608"/>
      <c r="N737" s="1609"/>
      <c r="O737" s="1468"/>
      <c r="P737" s="1469"/>
      <c r="Q737" s="1469"/>
      <c r="R737" s="1469"/>
      <c r="S737" s="1470"/>
      <c r="T737" s="1468"/>
      <c r="U737" s="1469"/>
      <c r="V737" s="1469"/>
      <c r="W737" s="1470"/>
      <c r="X737" s="1358">
        <f t="shared" si="8"/>
        <v>0</v>
      </c>
      <c r="Y737" s="1359"/>
      <c r="Z737" s="1359"/>
      <c r="AA737" s="1359"/>
      <c r="AB737" s="1360"/>
      <c r="AC737" s="1616"/>
      <c r="AD737" s="1617"/>
      <c r="AE737" s="1617"/>
      <c r="AF737" s="1617"/>
      <c r="AG737" s="1618"/>
      <c r="AH737" s="1361" t="str">
        <f t="shared" si="36"/>
        <v/>
      </c>
      <c r="AI737" s="1362"/>
      <c r="AJ737" s="1363"/>
      <c r="AK737" s="1355" t="s">
        <v>590</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 customHeight="1">
      <c r="B738" s="1355"/>
      <c r="C738" s="1356"/>
      <c r="D738" s="1356"/>
      <c r="E738" s="1356"/>
      <c r="F738" s="1357"/>
      <c r="G738" s="1364"/>
      <c r="H738" s="1365"/>
      <c r="I738" s="1365"/>
      <c r="J738" s="1366"/>
      <c r="K738" s="1607"/>
      <c r="L738" s="1608"/>
      <c r="M738" s="1608"/>
      <c r="N738" s="1609"/>
      <c r="O738" s="1468"/>
      <c r="P738" s="1469"/>
      <c r="Q738" s="1469"/>
      <c r="R738" s="1469"/>
      <c r="S738" s="1470"/>
      <c r="T738" s="1468"/>
      <c r="U738" s="1469"/>
      <c r="V738" s="1469"/>
      <c r="W738" s="1470"/>
      <c r="X738" s="1358">
        <f t="shared" si="8"/>
        <v>0</v>
      </c>
      <c r="Y738" s="1359"/>
      <c r="Z738" s="1359"/>
      <c r="AA738" s="1359"/>
      <c r="AB738" s="1360"/>
      <c r="AC738" s="1616"/>
      <c r="AD738" s="1617"/>
      <c r="AE738" s="1617"/>
      <c r="AF738" s="1617"/>
      <c r="AG738" s="1618"/>
      <c r="AH738" s="1361" t="str">
        <f t="shared" si="36"/>
        <v/>
      </c>
      <c r="AI738" s="1362"/>
      <c r="AJ738" s="1363"/>
      <c r="AK738" s="1355" t="s">
        <v>590</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 customHeight="1">
      <c r="B739" s="1355"/>
      <c r="C739" s="1356"/>
      <c r="D739" s="1356"/>
      <c r="E739" s="1356"/>
      <c r="F739" s="1357"/>
      <c r="G739" s="1364"/>
      <c r="H739" s="1365"/>
      <c r="I739" s="1365"/>
      <c r="J739" s="1366"/>
      <c r="K739" s="1607"/>
      <c r="L739" s="1608"/>
      <c r="M739" s="1608"/>
      <c r="N739" s="1609"/>
      <c r="O739" s="1468"/>
      <c r="P739" s="1469"/>
      <c r="Q739" s="1469"/>
      <c r="R739" s="1469"/>
      <c r="S739" s="1470"/>
      <c r="T739" s="1468"/>
      <c r="U739" s="1469"/>
      <c r="V739" s="1469"/>
      <c r="W739" s="1470"/>
      <c r="X739" s="1358">
        <f t="shared" si="8"/>
        <v>0</v>
      </c>
      <c r="Y739" s="1359"/>
      <c r="Z739" s="1359"/>
      <c r="AA739" s="1359"/>
      <c r="AB739" s="1360"/>
      <c r="AC739" s="1616"/>
      <c r="AD739" s="1617"/>
      <c r="AE739" s="1617"/>
      <c r="AF739" s="1617"/>
      <c r="AG739" s="1618"/>
      <c r="AH739" s="1361" t="str">
        <f t="shared" si="36"/>
        <v/>
      </c>
      <c r="AI739" s="1362"/>
      <c r="AJ739" s="1363"/>
      <c r="AK739" s="1355" t="s">
        <v>590</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 customHeight="1">
      <c r="B740" s="1355"/>
      <c r="C740" s="1356"/>
      <c r="D740" s="1356"/>
      <c r="E740" s="1356"/>
      <c r="F740" s="1357"/>
      <c r="G740" s="1364"/>
      <c r="H740" s="1365"/>
      <c r="I740" s="1365"/>
      <c r="J740" s="1366"/>
      <c r="K740" s="1607"/>
      <c r="L740" s="1608"/>
      <c r="M740" s="1608"/>
      <c r="N740" s="1609"/>
      <c r="O740" s="1468"/>
      <c r="P740" s="1469"/>
      <c r="Q740" s="1469"/>
      <c r="R740" s="1469"/>
      <c r="S740" s="1470"/>
      <c r="T740" s="1468"/>
      <c r="U740" s="1469"/>
      <c r="V740" s="1469"/>
      <c r="W740" s="1470"/>
      <c r="X740" s="1358">
        <f t="shared" si="8"/>
        <v>0</v>
      </c>
      <c r="Y740" s="1359"/>
      <c r="Z740" s="1359"/>
      <c r="AA740" s="1359"/>
      <c r="AB740" s="1360"/>
      <c r="AC740" s="1616"/>
      <c r="AD740" s="1617"/>
      <c r="AE740" s="1617"/>
      <c r="AF740" s="1617"/>
      <c r="AG740" s="1618"/>
      <c r="AH740" s="1361" t="str">
        <f t="shared" si="36"/>
        <v/>
      </c>
      <c r="AI740" s="1362"/>
      <c r="AJ740" s="1363"/>
      <c r="AK740" s="1355" t="s">
        <v>590</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 customHeight="1">
      <c r="B741" s="1355"/>
      <c r="C741" s="1356"/>
      <c r="D741" s="1356"/>
      <c r="E741" s="1356"/>
      <c r="F741" s="1357"/>
      <c r="G741" s="1364"/>
      <c r="H741" s="1365"/>
      <c r="I741" s="1365"/>
      <c r="J741" s="1366"/>
      <c r="K741" s="1607"/>
      <c r="L741" s="1608"/>
      <c r="M741" s="1608"/>
      <c r="N741" s="1609"/>
      <c r="O741" s="1468"/>
      <c r="P741" s="1469"/>
      <c r="Q741" s="1469"/>
      <c r="R741" s="1469"/>
      <c r="S741" s="1470"/>
      <c r="T741" s="1468"/>
      <c r="U741" s="1469"/>
      <c r="V741" s="1469"/>
      <c r="W741" s="1470"/>
      <c r="X741" s="1358">
        <f t="shared" si="8"/>
        <v>0</v>
      </c>
      <c r="Y741" s="1359"/>
      <c r="Z741" s="1359"/>
      <c r="AA741" s="1359"/>
      <c r="AB741" s="1360"/>
      <c r="AC741" s="1616"/>
      <c r="AD741" s="1617"/>
      <c r="AE741" s="1617"/>
      <c r="AF741" s="1617"/>
      <c r="AG741" s="1618"/>
      <c r="AH741" s="1361" t="str">
        <f t="shared" si="36"/>
        <v/>
      </c>
      <c r="AI741" s="1362"/>
      <c r="AJ741" s="1363"/>
      <c r="AK741" s="1355" t="s">
        <v>590</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 customHeight="1">
      <c r="B742" s="1355"/>
      <c r="C742" s="1356"/>
      <c r="D742" s="1356"/>
      <c r="E742" s="1356"/>
      <c r="F742" s="1357"/>
      <c r="G742" s="1364"/>
      <c r="H742" s="1365"/>
      <c r="I742" s="1365"/>
      <c r="J742" s="1366"/>
      <c r="K742" s="1607"/>
      <c r="L742" s="1608"/>
      <c r="M742" s="1608"/>
      <c r="N742" s="1609"/>
      <c r="O742" s="1468"/>
      <c r="P742" s="1469"/>
      <c r="Q742" s="1469"/>
      <c r="R742" s="1469"/>
      <c r="S742" s="1470"/>
      <c r="T742" s="1468"/>
      <c r="U742" s="1469"/>
      <c r="V742" s="1469"/>
      <c r="W742" s="1470"/>
      <c r="X742" s="1358">
        <f t="shared" ref="X742:X751" si="39">O742+T742</f>
        <v>0</v>
      </c>
      <c r="Y742" s="1359"/>
      <c r="Z742" s="1359"/>
      <c r="AA742" s="1359"/>
      <c r="AB742" s="1360"/>
      <c r="AC742" s="1616"/>
      <c r="AD742" s="1617"/>
      <c r="AE742" s="1617"/>
      <c r="AF742" s="1617"/>
      <c r="AG742" s="1618"/>
      <c r="AH742" s="1361" t="str">
        <f t="shared" si="36"/>
        <v/>
      </c>
      <c r="AI742" s="1362"/>
      <c r="AJ742" s="1363"/>
      <c r="AK742" s="1355" t="s">
        <v>590</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 customHeight="1">
      <c r="A743"/>
      <c r="B743" s="1355"/>
      <c r="C743" s="1356"/>
      <c r="D743" s="1356"/>
      <c r="E743" s="1356"/>
      <c r="F743" s="1357"/>
      <c r="G743" s="1364"/>
      <c r="H743" s="1365"/>
      <c r="I743" s="1365"/>
      <c r="J743" s="1366"/>
      <c r="K743" s="1607"/>
      <c r="L743" s="1608"/>
      <c r="M743" s="1608"/>
      <c r="N743" s="1609"/>
      <c r="O743" s="1468"/>
      <c r="P743" s="1469"/>
      <c r="Q743" s="1469"/>
      <c r="R743" s="1469"/>
      <c r="S743" s="1470"/>
      <c r="T743" s="1468"/>
      <c r="U743" s="1469"/>
      <c r="V743" s="1469"/>
      <c r="W743" s="1470"/>
      <c r="X743" s="1358">
        <f t="shared" si="39"/>
        <v>0</v>
      </c>
      <c r="Y743" s="1359"/>
      <c r="Z743" s="1359"/>
      <c r="AA743" s="1359"/>
      <c r="AB743" s="1360"/>
      <c r="AC743" s="1616"/>
      <c r="AD743" s="1617"/>
      <c r="AE743" s="1617"/>
      <c r="AF743" s="1617"/>
      <c r="AG743" s="1618"/>
      <c r="AH743" s="1361" t="str">
        <f t="shared" si="36"/>
        <v/>
      </c>
      <c r="AI743" s="1362"/>
      <c r="AJ743" s="1363"/>
      <c r="AK743" s="1355" t="s">
        <v>590</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 customHeight="1">
      <c r="B744" s="1355"/>
      <c r="C744" s="1356"/>
      <c r="D744" s="1356"/>
      <c r="E744" s="1356"/>
      <c r="F744" s="1357"/>
      <c r="G744" s="1364"/>
      <c r="H744" s="1365"/>
      <c r="I744" s="1365"/>
      <c r="J744" s="1366"/>
      <c r="K744" s="1607"/>
      <c r="L744" s="1608"/>
      <c r="M744" s="1608"/>
      <c r="N744" s="1609"/>
      <c r="O744" s="1468"/>
      <c r="P744" s="1469"/>
      <c r="Q744" s="1469"/>
      <c r="R744" s="1469"/>
      <c r="S744" s="1470"/>
      <c r="T744" s="1468"/>
      <c r="U744" s="1469"/>
      <c r="V744" s="1469"/>
      <c r="W744" s="1470"/>
      <c r="X744" s="1358">
        <f t="shared" si="39"/>
        <v>0</v>
      </c>
      <c r="Y744" s="1359"/>
      <c r="Z744" s="1359"/>
      <c r="AA744" s="1359"/>
      <c r="AB744" s="1360"/>
      <c r="AC744" s="1616"/>
      <c r="AD744" s="1617"/>
      <c r="AE744" s="1617"/>
      <c r="AF744" s="1617"/>
      <c r="AG744" s="1618"/>
      <c r="AH744" s="1361" t="str">
        <f t="shared" si="36"/>
        <v/>
      </c>
      <c r="AI744" s="1362"/>
      <c r="AJ744" s="1363"/>
      <c r="AK744" s="1355" t="s">
        <v>590</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 customHeight="1">
      <c r="B745" s="1355"/>
      <c r="C745" s="1356"/>
      <c r="D745" s="1356"/>
      <c r="E745" s="1356"/>
      <c r="F745" s="1357"/>
      <c r="G745" s="1364"/>
      <c r="H745" s="1365"/>
      <c r="I745" s="1365"/>
      <c r="J745" s="1366"/>
      <c r="K745" s="1607"/>
      <c r="L745" s="1608"/>
      <c r="M745" s="1608"/>
      <c r="N745" s="1609"/>
      <c r="O745" s="1468"/>
      <c r="P745" s="1469"/>
      <c r="Q745" s="1469"/>
      <c r="R745" s="1469"/>
      <c r="S745" s="1470"/>
      <c r="T745" s="1468"/>
      <c r="U745" s="1469"/>
      <c r="V745" s="1469"/>
      <c r="W745" s="1470"/>
      <c r="X745" s="1358">
        <f t="shared" si="39"/>
        <v>0</v>
      </c>
      <c r="Y745" s="1359"/>
      <c r="Z745" s="1359"/>
      <c r="AA745" s="1359"/>
      <c r="AB745" s="1360"/>
      <c r="AC745" s="1616"/>
      <c r="AD745" s="1617"/>
      <c r="AE745" s="1617"/>
      <c r="AF745" s="1617"/>
      <c r="AG745" s="1618"/>
      <c r="AH745" s="1361" t="str">
        <f t="shared" si="36"/>
        <v/>
      </c>
      <c r="AI745" s="1362"/>
      <c r="AJ745" s="1363"/>
      <c r="AK745" s="1355" t="s">
        <v>590</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 customHeight="1">
      <c r="B746" s="1355"/>
      <c r="C746" s="1356"/>
      <c r="D746" s="1356"/>
      <c r="E746" s="1356"/>
      <c r="F746" s="1357"/>
      <c r="G746" s="1364"/>
      <c r="H746" s="1365"/>
      <c r="I746" s="1365"/>
      <c r="J746" s="1366"/>
      <c r="K746" s="1607"/>
      <c r="L746" s="1608"/>
      <c r="M746" s="1608"/>
      <c r="N746" s="1609"/>
      <c r="O746" s="1468"/>
      <c r="P746" s="1469"/>
      <c r="Q746" s="1469"/>
      <c r="R746" s="1469"/>
      <c r="S746" s="1470"/>
      <c r="T746" s="1468"/>
      <c r="U746" s="1469"/>
      <c r="V746" s="1469"/>
      <c r="W746" s="1470"/>
      <c r="X746" s="1358">
        <f t="shared" si="39"/>
        <v>0</v>
      </c>
      <c r="Y746" s="1359"/>
      <c r="Z746" s="1359"/>
      <c r="AA746" s="1359"/>
      <c r="AB746" s="1360"/>
      <c r="AC746" s="1616"/>
      <c r="AD746" s="1617"/>
      <c r="AE746" s="1617"/>
      <c r="AF746" s="1617"/>
      <c r="AG746" s="1618"/>
      <c r="AH746" s="1361" t="str">
        <f t="shared" si="36"/>
        <v/>
      </c>
      <c r="AI746" s="1362"/>
      <c r="AJ746" s="1363"/>
      <c r="AK746" s="1355" t="s">
        <v>590</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 customHeight="1">
      <c r="B747" s="1355"/>
      <c r="C747" s="1356"/>
      <c r="D747" s="1356"/>
      <c r="E747" s="1356"/>
      <c r="F747" s="1357"/>
      <c r="G747" s="1364"/>
      <c r="H747" s="1365"/>
      <c r="I747" s="1365"/>
      <c r="J747" s="1366"/>
      <c r="K747" s="1607"/>
      <c r="L747" s="1608"/>
      <c r="M747" s="1608"/>
      <c r="N747" s="1609"/>
      <c r="O747" s="1468"/>
      <c r="P747" s="1469"/>
      <c r="Q747" s="1469"/>
      <c r="R747" s="1469"/>
      <c r="S747" s="1470"/>
      <c r="T747" s="1468"/>
      <c r="U747" s="1469"/>
      <c r="V747" s="1469"/>
      <c r="W747" s="1470"/>
      <c r="X747" s="1358">
        <f t="shared" si="39"/>
        <v>0</v>
      </c>
      <c r="Y747" s="1359"/>
      <c r="Z747" s="1359"/>
      <c r="AA747" s="1359"/>
      <c r="AB747" s="1360"/>
      <c r="AC747" s="1616"/>
      <c r="AD747" s="1617"/>
      <c r="AE747" s="1617"/>
      <c r="AF747" s="1617"/>
      <c r="AG747" s="1618"/>
      <c r="AH747" s="1361" t="str">
        <f t="shared" si="36"/>
        <v/>
      </c>
      <c r="AI747" s="1362"/>
      <c r="AJ747" s="1363"/>
      <c r="AK747" s="1355" t="s">
        <v>590</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 customHeight="1">
      <c r="A748"/>
      <c r="B748" s="1355"/>
      <c r="C748" s="1356"/>
      <c r="D748" s="1356"/>
      <c r="E748" s="1356"/>
      <c r="F748" s="1357"/>
      <c r="G748" s="1364"/>
      <c r="H748" s="1365"/>
      <c r="I748" s="1365"/>
      <c r="J748" s="1366"/>
      <c r="K748" s="1607"/>
      <c r="L748" s="1608"/>
      <c r="M748" s="1608"/>
      <c r="N748" s="1609"/>
      <c r="O748" s="1468"/>
      <c r="P748" s="1469"/>
      <c r="Q748" s="1469"/>
      <c r="R748" s="1469"/>
      <c r="S748" s="1470"/>
      <c r="T748" s="1468"/>
      <c r="U748" s="1469"/>
      <c r="V748" s="1469"/>
      <c r="W748" s="1470"/>
      <c r="X748" s="1358">
        <f t="shared" si="39"/>
        <v>0</v>
      </c>
      <c r="Y748" s="1359"/>
      <c r="Z748" s="1359"/>
      <c r="AA748" s="1359"/>
      <c r="AB748" s="1360"/>
      <c r="AC748" s="1616"/>
      <c r="AD748" s="1617"/>
      <c r="AE748" s="1617"/>
      <c r="AF748" s="1617"/>
      <c r="AG748" s="1618"/>
      <c r="AH748" s="1361" t="str">
        <f t="shared" si="36"/>
        <v/>
      </c>
      <c r="AI748" s="1362"/>
      <c r="AJ748" s="1363"/>
      <c r="AK748" s="1355" t="s">
        <v>590</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 customHeight="1">
      <c r="A749"/>
      <c r="B749" s="1355"/>
      <c r="C749" s="1356"/>
      <c r="D749" s="1356"/>
      <c r="E749" s="1356"/>
      <c r="F749" s="1357"/>
      <c r="G749" s="1364"/>
      <c r="H749" s="1365"/>
      <c r="I749" s="1365"/>
      <c r="J749" s="1366"/>
      <c r="K749" s="1607"/>
      <c r="L749" s="1608"/>
      <c r="M749" s="1608"/>
      <c r="N749" s="1609"/>
      <c r="O749" s="1468"/>
      <c r="P749" s="1469"/>
      <c r="Q749" s="1469"/>
      <c r="R749" s="1469"/>
      <c r="S749" s="1470"/>
      <c r="T749" s="1468"/>
      <c r="U749" s="1469"/>
      <c r="V749" s="1469"/>
      <c r="W749" s="1470"/>
      <c r="X749" s="1358">
        <f t="shared" si="39"/>
        <v>0</v>
      </c>
      <c r="Y749" s="1359"/>
      <c r="Z749" s="1359"/>
      <c r="AA749" s="1359"/>
      <c r="AB749" s="1360"/>
      <c r="AC749" s="1616"/>
      <c r="AD749" s="1617"/>
      <c r="AE749" s="1617"/>
      <c r="AF749" s="1617"/>
      <c r="AG749" s="1618"/>
      <c r="AH749" s="1361" t="str">
        <f t="shared" si="36"/>
        <v/>
      </c>
      <c r="AI749" s="1362"/>
      <c r="AJ749" s="1363"/>
      <c r="AK749" s="1355" t="s">
        <v>590</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 customHeight="1">
      <c r="A750"/>
      <c r="B750" s="1355"/>
      <c r="C750" s="1356"/>
      <c r="D750" s="1356"/>
      <c r="E750" s="1356"/>
      <c r="F750" s="1357"/>
      <c r="G750" s="1364"/>
      <c r="H750" s="1365"/>
      <c r="I750" s="1365"/>
      <c r="J750" s="1366"/>
      <c r="K750" s="1607"/>
      <c r="L750" s="1608"/>
      <c r="M750" s="1608"/>
      <c r="N750" s="1609"/>
      <c r="O750" s="1468"/>
      <c r="P750" s="1469"/>
      <c r="Q750" s="1469"/>
      <c r="R750" s="1469"/>
      <c r="S750" s="1470"/>
      <c r="T750" s="1468"/>
      <c r="U750" s="1469"/>
      <c r="V750" s="1469"/>
      <c r="W750" s="1470"/>
      <c r="X750" s="1358">
        <f t="shared" si="39"/>
        <v>0</v>
      </c>
      <c r="Y750" s="1359"/>
      <c r="Z750" s="1359"/>
      <c r="AA750" s="1359"/>
      <c r="AB750" s="1360"/>
      <c r="AC750" s="1616"/>
      <c r="AD750" s="1617"/>
      <c r="AE750" s="1617"/>
      <c r="AF750" s="1617"/>
      <c r="AG750" s="1618"/>
      <c r="AH750" s="1361" t="str">
        <f t="shared" si="36"/>
        <v/>
      </c>
      <c r="AI750" s="1362"/>
      <c r="AJ750" s="1363"/>
      <c r="AK750" s="1355" t="s">
        <v>590</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 customHeight="1">
      <c r="A751"/>
      <c r="B751" s="1355"/>
      <c r="C751" s="1356"/>
      <c r="D751" s="1356"/>
      <c r="E751" s="1356"/>
      <c r="F751" s="1357"/>
      <c r="G751" s="1364"/>
      <c r="H751" s="1365"/>
      <c r="I751" s="1365"/>
      <c r="J751" s="1366"/>
      <c r="K751" s="1607"/>
      <c r="L751" s="1608"/>
      <c r="M751" s="1608"/>
      <c r="N751" s="1609"/>
      <c r="O751" s="1468"/>
      <c r="P751" s="1469"/>
      <c r="Q751" s="1469"/>
      <c r="R751" s="1469"/>
      <c r="S751" s="1470"/>
      <c r="T751" s="1468"/>
      <c r="U751" s="1469"/>
      <c r="V751" s="1469"/>
      <c r="W751" s="1470"/>
      <c r="X751" s="1358">
        <f t="shared" si="39"/>
        <v>0</v>
      </c>
      <c r="Y751" s="1359"/>
      <c r="Z751" s="1359"/>
      <c r="AA751" s="1359"/>
      <c r="AB751" s="1360"/>
      <c r="AC751" s="1616"/>
      <c r="AD751" s="1617"/>
      <c r="AE751" s="1617"/>
      <c r="AF751" s="1617"/>
      <c r="AG751" s="1618"/>
      <c r="AH751" s="1361" t="str">
        <f t="shared" si="36"/>
        <v/>
      </c>
      <c r="AI751" s="1362"/>
      <c r="AJ751" s="1363"/>
      <c r="AK751" s="1355" t="s">
        <v>590</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 customHeight="1">
      <c r="A752"/>
      <c r="B752" s="1355"/>
      <c r="C752" s="1356"/>
      <c r="D752" s="1356"/>
      <c r="E752" s="1356"/>
      <c r="F752" s="1357"/>
      <c r="G752" s="1364"/>
      <c r="H752" s="1365"/>
      <c r="I752" s="1365"/>
      <c r="J752" s="1366"/>
      <c r="K752" s="1607"/>
      <c r="L752" s="1608"/>
      <c r="M752" s="1608"/>
      <c r="N752" s="1609"/>
      <c r="O752" s="1468"/>
      <c r="P752" s="1469"/>
      <c r="Q752" s="1469"/>
      <c r="R752" s="1469"/>
      <c r="S752" s="1470"/>
      <c r="T752" s="1468"/>
      <c r="U752" s="1469"/>
      <c r="V752" s="1469"/>
      <c r="W752" s="1470"/>
      <c r="X752" s="1358">
        <f>O752+T752</f>
        <v>0</v>
      </c>
      <c r="Y752" s="1359"/>
      <c r="Z752" s="1359"/>
      <c r="AA752" s="1359"/>
      <c r="AB752" s="1360"/>
      <c r="AC752" s="1616"/>
      <c r="AD752" s="1617"/>
      <c r="AE752" s="1617"/>
      <c r="AF752" s="1617"/>
      <c r="AG752" s="1618"/>
      <c r="AH752" s="1361" t="str">
        <f t="shared" si="36"/>
        <v/>
      </c>
      <c r="AI752" s="1362"/>
      <c r="AJ752" s="1363"/>
      <c r="AK752" s="1355" t="s">
        <v>590</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 customHeight="1">
      <c r="A753"/>
      <c r="B753" s="1408" t="s">
        <v>125</v>
      </c>
      <c r="C753" s="1409"/>
      <c r="D753" s="1409"/>
      <c r="E753" s="1409"/>
      <c r="F753" s="1411"/>
      <c r="G753" s="1721">
        <f>SUM(G718:G752)</f>
        <v>89</v>
      </c>
      <c r="H753" s="1722"/>
      <c r="I753" s="1722"/>
      <c r="J753" s="1723"/>
      <c r="K753" s="902" t="s">
        <v>124</v>
      </c>
      <c r="L753" s="5"/>
      <c r="M753" s="5"/>
      <c r="N753" s="46"/>
      <c r="O753" s="1358">
        <f>SUMPRODUCT(G718:G752,O718:O752)</f>
        <v>179631.39</v>
      </c>
      <c r="P753" s="1359"/>
      <c r="Q753" s="1359"/>
      <c r="R753" s="1359"/>
      <c r="S753" s="1360"/>
      <c r="T753"/>
      <c r="U753"/>
      <c r="V753"/>
      <c r="W753"/>
      <c r="X753" s="904" t="s">
        <v>899</v>
      </c>
      <c r="Y753" s="903"/>
      <c r="Z753" s="903"/>
      <c r="AA753" s="903"/>
      <c r="AB753" s="905"/>
      <c r="AC753" s="1620">
        <f>BH753</f>
        <v>0.47977528089887633</v>
      </c>
      <c r="AD753" s="1621"/>
      <c r="AE753" s="1621"/>
      <c r="AF753" s="1621"/>
      <c r="AG753" s="1622"/>
      <c r="AH753" s="1620">
        <f>IFERROR(BU753,"")</f>
        <v>0.47977680411279661</v>
      </c>
      <c r="AI753" s="1621"/>
      <c r="AJ753" s="1622"/>
      <c r="AK753"/>
      <c r="AL753"/>
      <c r="AM753"/>
      <c r="AN753"/>
      <c r="AO753"/>
      <c r="AP753" s="205"/>
      <c r="AQ753" s="205"/>
      <c r="AR753" s="205"/>
      <c r="AS753" s="205"/>
      <c r="AT753"/>
      <c r="AU753"/>
      <c r="AV753"/>
      <c r="AW753"/>
      <c r="AX753"/>
      <c r="AY753"/>
      <c r="AZ753" s="34"/>
      <c r="BA753" s="34"/>
      <c r="BB753" s="34"/>
      <c r="BC753" s="34"/>
      <c r="BE753" s="290" t="s">
        <v>898</v>
      </c>
      <c r="BF753" s="299">
        <f>SUM(BF718:BF752)</f>
        <v>89</v>
      </c>
      <c r="BG753" s="300">
        <f>SUM(BG718:BG752)</f>
        <v>1</v>
      </c>
      <c r="BH753" s="300">
        <f>SUM(BH718:BH752)</f>
        <v>0.47977528089887633</v>
      </c>
      <c r="BI753"/>
      <c r="BJ753"/>
      <c r="BK753"/>
      <c r="BL753"/>
      <c r="BO753"/>
      <c r="BP753"/>
      <c r="BQ753"/>
      <c r="BR753"/>
      <c r="BS753" s="859">
        <f>SUM(BS718:BS752)</f>
        <v>89</v>
      </c>
      <c r="BT753" s="300">
        <f>SUM(BT718:BT752)</f>
        <v>1</v>
      </c>
      <c r="BU753" s="300">
        <f>SUM(BU718:BU752)</f>
        <v>0.47977680411279661</v>
      </c>
      <c r="CI753" s="1351">
        <f>SUM(CI718:CJ752)</f>
        <v>14</v>
      </c>
      <c r="CJ753" s="1353"/>
      <c r="CM753" s="1351">
        <f>SUM(CM718:CN752)</f>
        <v>31</v>
      </c>
      <c r="CN753" s="1353"/>
      <c r="CP753" s="1351">
        <f>SUM(CP718:CT752)</f>
        <v>0</v>
      </c>
      <c r="CQ753" s="1352"/>
      <c r="CR753" s="1352"/>
      <c r="CS753" s="1352"/>
      <c r="CT753" s="1353"/>
      <c r="CU753" s="1367">
        <f>SUM(CU718:CY752)</f>
        <v>33</v>
      </c>
      <c r="CV753" s="1367"/>
      <c r="CW753" s="1367"/>
      <c r="CX753" s="1367"/>
      <c r="CY753" s="1367"/>
      <c r="CZ753" s="1367">
        <f>SUM(CZ718:DD752)</f>
        <v>23</v>
      </c>
      <c r="DA753" s="1367"/>
      <c r="DB753" s="1367"/>
      <c r="DC753" s="1367"/>
      <c r="DD753" s="1367"/>
      <c r="DE753" s="1367">
        <f>SUM(DE718:DI752)</f>
        <v>23</v>
      </c>
      <c r="DF753" s="1367"/>
      <c r="DG753" s="1367"/>
      <c r="DH753" s="1367"/>
      <c r="DI753" s="1367"/>
      <c r="DJ753" s="1367">
        <f>SUM(DJ718:DN752)</f>
        <v>10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23</v>
      </c>
      <c r="EA753" s="1367"/>
      <c r="EB753" s="1367"/>
      <c r="EC753" s="1367"/>
      <c r="ED753" s="1367"/>
      <c r="EE753" s="1367">
        <f>SUM(EE718:EI752)</f>
        <v>4</v>
      </c>
      <c r="EF753" s="1367"/>
      <c r="EG753" s="1367"/>
      <c r="EH753" s="1367"/>
      <c r="EI753" s="1367"/>
      <c r="EJ753" s="1367">
        <f>SUM(EJ718:EN752)</f>
        <v>3</v>
      </c>
      <c r="EK753" s="1367"/>
      <c r="EL753" s="1367"/>
      <c r="EM753" s="1367"/>
      <c r="EN753" s="1367"/>
      <c r="EO753" s="1367">
        <f>SUM(EO718:ES752)</f>
        <v>1</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4639.2000000000007</v>
      </c>
      <c r="FF753" s="1367"/>
      <c r="FG753" s="1367"/>
      <c r="FH753" s="1367"/>
      <c r="FI753" s="1367"/>
      <c r="FJ753" s="1367">
        <f>SUM(FJ718:FN752)</f>
        <v>6801</v>
      </c>
      <c r="FK753" s="1367"/>
      <c r="FL753" s="1367"/>
      <c r="FM753" s="1367"/>
      <c r="FN753" s="1367"/>
      <c r="FO753" s="1367">
        <f>SUM(FO718:FS752)</f>
        <v>7749.29</v>
      </c>
      <c r="FP753" s="1367"/>
      <c r="FQ753" s="1367"/>
      <c r="FR753" s="1367"/>
      <c r="FS753" s="1367"/>
      <c r="FT753" s="1367">
        <f>SUM(FT718:FX752)</f>
        <v>4544.7</v>
      </c>
      <c r="FU753" s="1367"/>
      <c r="FV753" s="1367"/>
      <c r="FW753" s="1367"/>
      <c r="FX753" s="1367"/>
      <c r="FY753" s="1367">
        <f>SUM(FY718:GC752)</f>
        <v>0</v>
      </c>
      <c r="FZ753" s="1367"/>
      <c r="GA753" s="1367"/>
      <c r="GB753" s="1367"/>
      <c r="GC753" s="1367"/>
    </row>
    <row r="754" spans="1:185" s="3" customFormat="1" ht="12.9" customHeight="1">
      <c r="A754"/>
      <c r="B754" s="1725" t="s">
        <v>1893</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1860</v>
      </c>
      <c r="DO754" s="1351">
        <f>CP753+CU753+CZ753+DE753+DJ753+DO753</f>
        <v>89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33</v>
      </c>
      <c r="CZ755" s="3"/>
      <c r="DA755" s="3"/>
      <c r="DB755" s="3"/>
      <c r="DC755" s="3"/>
      <c r="DD755" s="861">
        <f>CZ753*2</f>
        <v>46</v>
      </c>
      <c r="DE755" s="3"/>
      <c r="DF755" s="3"/>
      <c r="DG755" s="3"/>
      <c r="DH755" s="3"/>
      <c r="DI755" s="861">
        <f>DE753*3</f>
        <v>69</v>
      </c>
      <c r="DJ755" s="3"/>
      <c r="DK755" s="3"/>
      <c r="DL755" s="3"/>
      <c r="DM755" s="3"/>
      <c r="DN755" s="861">
        <f>DJ753*4</f>
        <v>40</v>
      </c>
      <c r="DO755" s="3"/>
      <c r="DP755" s="3"/>
      <c r="DQ755" s="3"/>
      <c r="DR755" s="3"/>
      <c r="DS755" s="861">
        <f>DO753*5</f>
        <v>0</v>
      </c>
      <c r="DU755" s="861">
        <f>CT755+CY755+DD755+DI755+DN755+DS755</f>
        <v>188</v>
      </c>
      <c r="DV755" s="57" t="s">
        <v>1862</v>
      </c>
      <c r="DW755" s="3"/>
      <c r="DX755" s="3"/>
      <c r="DY755" s="3"/>
      <c r="DZ755" s="3"/>
      <c r="EA755" s="3"/>
      <c r="EB755" s="3"/>
      <c r="EC755" s="3"/>
      <c r="ED755" s="3"/>
      <c r="EE755" s="3"/>
      <c r="EF755" s="3"/>
      <c r="EG755" s="3"/>
      <c r="EH755" s="3"/>
    </row>
    <row r="756" spans="1:185" ht="12.9" customHeight="1">
      <c r="A756" s="3"/>
      <c r="B756" s="3"/>
      <c r="C756" s="118" t="s">
        <v>1891</v>
      </c>
      <c r="D756" s="1032"/>
      <c r="E756" s="1032"/>
      <c r="F756" s="1032"/>
      <c r="G756" s="1033"/>
      <c r="H756" s="1033"/>
      <c r="I756" s="1033"/>
      <c r="J756" s="1033"/>
      <c r="K756" s="1032"/>
      <c r="L756" s="1032"/>
      <c r="M756" s="1032"/>
      <c r="N756" s="1032"/>
      <c r="O756" s="1367">
        <f>DU755</f>
        <v>188</v>
      </c>
      <c r="P756" s="1367"/>
      <c r="Q756" s="1367"/>
      <c r="R756" s="1367"/>
      <c r="S756" s="969"/>
      <c r="T756" s="969"/>
      <c r="U756" s="118" t="s">
        <v>1892</v>
      </c>
      <c r="V756" s="1032"/>
      <c r="W756" s="1032"/>
      <c r="X756" s="1032"/>
      <c r="Y756" s="1033"/>
      <c r="Z756" s="1033"/>
      <c r="AA756" s="1033"/>
      <c r="AB756" s="1033"/>
      <c r="AC756" s="1032"/>
      <c r="AD756" s="1032"/>
      <c r="AE756" s="1032"/>
      <c r="AF756" s="1032"/>
      <c r="AG756" s="1717">
        <v>37</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590</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4" t="s">
        <v>388</v>
      </c>
      <c r="K769" s="1495"/>
      <c r="L769" s="1495"/>
      <c r="M769" s="1495"/>
      <c r="N769" s="1496"/>
      <c r="O769" s="1605" t="s">
        <v>284</v>
      </c>
      <c r="P769" s="1605"/>
      <c r="Q769" s="1605"/>
      <c r="R769" s="1605"/>
      <c r="S769" s="1605"/>
      <c r="T769" s="1511" t="s">
        <v>1678</v>
      </c>
      <c r="U769" s="1512"/>
      <c r="V769" s="1512"/>
      <c r="W769" s="1513"/>
      <c r="X769" s="1494" t="s">
        <v>446</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7"/>
      <c r="K770" s="1498"/>
      <c r="L770" s="1498"/>
      <c r="M770" s="1498"/>
      <c r="N770" s="1499"/>
      <c r="O770" s="1605"/>
      <c r="P770" s="1605"/>
      <c r="Q770" s="1605"/>
      <c r="R770" s="1605"/>
      <c r="S770" s="1605"/>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7"/>
      <c r="K771" s="1498"/>
      <c r="L771" s="1498"/>
      <c r="M771" s="1498"/>
      <c r="N771" s="1499"/>
      <c r="O771" s="1605"/>
      <c r="P771" s="1605"/>
      <c r="Q771" s="1605"/>
      <c r="R771" s="1605"/>
      <c r="S771" s="1605"/>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0"/>
      <c r="K772" s="1501"/>
      <c r="L772" s="1501"/>
      <c r="M772" s="1501"/>
      <c r="N772" s="1502"/>
      <c r="O772" s="1605"/>
      <c r="P772" s="1605"/>
      <c r="Q772" s="1605"/>
      <c r="R772" s="1605"/>
      <c r="S772" s="1605"/>
      <c r="T772" s="1613"/>
      <c r="U772" s="1614"/>
      <c r="V772" s="1614"/>
      <c r="W772" s="1615"/>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5" t="s">
        <v>163</v>
      </c>
      <c r="K773" s="1356"/>
      <c r="L773" s="1356"/>
      <c r="M773" s="1356"/>
      <c r="N773" s="1357"/>
      <c r="O773" s="1464">
        <v>1</v>
      </c>
      <c r="P773" s="1464"/>
      <c r="Q773" s="1464"/>
      <c r="R773" s="1464"/>
      <c r="S773" s="1464"/>
      <c r="T773" s="1607">
        <v>826</v>
      </c>
      <c r="U773" s="1608"/>
      <c r="V773" s="1608"/>
      <c r="W773" s="1609"/>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 customHeight="1">
      <c r="J774" s="1355"/>
      <c r="K774" s="1356"/>
      <c r="L774" s="1356"/>
      <c r="M774" s="1356"/>
      <c r="N774" s="1357"/>
      <c r="O774" s="1464"/>
      <c r="P774" s="1464"/>
      <c r="Q774" s="1464"/>
      <c r="R774" s="1464"/>
      <c r="S774" s="1464"/>
      <c r="T774" s="1607"/>
      <c r="U774" s="1608"/>
      <c r="V774" s="1608"/>
      <c r="W774" s="1609"/>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 customHeight="1">
      <c r="J775" s="1355"/>
      <c r="K775" s="1356"/>
      <c r="L775" s="1356"/>
      <c r="M775" s="1356"/>
      <c r="N775" s="1357"/>
      <c r="O775" s="1464"/>
      <c r="P775" s="1464"/>
      <c r="Q775" s="1464"/>
      <c r="R775" s="1464"/>
      <c r="S775" s="1464"/>
      <c r="T775" s="1607"/>
      <c r="U775" s="1608"/>
      <c r="V775" s="1608"/>
      <c r="W775" s="1609"/>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 customHeight="1">
      <c r="J776" s="1355"/>
      <c r="K776" s="1356"/>
      <c r="L776" s="1356"/>
      <c r="M776" s="1356"/>
      <c r="N776" s="1357"/>
      <c r="O776" s="1464"/>
      <c r="P776" s="1464"/>
      <c r="Q776" s="1464"/>
      <c r="R776" s="1464"/>
      <c r="S776" s="1464"/>
      <c r="T776" s="1607"/>
      <c r="U776" s="1608"/>
      <c r="V776" s="1608"/>
      <c r="W776" s="1609"/>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2.9" customHeight="1">
      <c r="B779" s="56"/>
      <c r="C779" s="56"/>
      <c r="D779" s="56"/>
      <c r="E779" s="56"/>
      <c r="F779" s="56"/>
      <c r="G779" s="6"/>
      <c r="H779" s="6"/>
      <c r="I779" s="6"/>
      <c r="J779" s="1390" t="s">
        <v>668</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4" t="s">
        <v>388</v>
      </c>
      <c r="K783" s="1495"/>
      <c r="L783" s="1495"/>
      <c r="M783" s="1495"/>
      <c r="N783" s="1496"/>
      <c r="O783" s="1605" t="s">
        <v>284</v>
      </c>
      <c r="P783" s="1605"/>
      <c r="Q783" s="1605"/>
      <c r="R783" s="1605"/>
      <c r="S783" s="1605"/>
      <c r="T783" s="1511" t="s">
        <v>1678</v>
      </c>
      <c r="U783" s="1512"/>
      <c r="V783" s="1512"/>
      <c r="W783" s="1513"/>
      <c r="X783" s="1494" t="s">
        <v>446</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7"/>
      <c r="K784" s="1498"/>
      <c r="L784" s="1498"/>
      <c r="M784" s="1498"/>
      <c r="N784" s="1499"/>
      <c r="O784" s="1605"/>
      <c r="P784" s="1605"/>
      <c r="Q784" s="1605"/>
      <c r="R784" s="1605"/>
      <c r="S784" s="1605"/>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7"/>
      <c r="K785" s="1498"/>
      <c r="L785" s="1498"/>
      <c r="M785" s="1498"/>
      <c r="N785" s="1499"/>
      <c r="O785" s="1605"/>
      <c r="P785" s="1605"/>
      <c r="Q785" s="1605"/>
      <c r="R785" s="1605"/>
      <c r="S785" s="1605"/>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0"/>
      <c r="K786" s="1501"/>
      <c r="L786" s="1501"/>
      <c r="M786" s="1501"/>
      <c r="N786" s="1502"/>
      <c r="O786" s="1605"/>
      <c r="P786" s="1605"/>
      <c r="Q786" s="1605"/>
      <c r="R786" s="1605"/>
      <c r="S786" s="1605"/>
      <c r="T786" s="1613"/>
      <c r="U786" s="1614"/>
      <c r="V786" s="1614"/>
      <c r="W786" s="1615"/>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55"/>
      <c r="K787" s="1356"/>
      <c r="L787" s="1356"/>
      <c r="M787" s="1356"/>
      <c r="N787" s="1357"/>
      <c r="O787" s="1464"/>
      <c r="P787" s="1464"/>
      <c r="Q787" s="1464"/>
      <c r="R787" s="1464"/>
      <c r="S787" s="1464"/>
      <c r="T787" s="1607"/>
      <c r="U787" s="1608"/>
      <c r="V787" s="1608"/>
      <c r="W787" s="1609"/>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 customHeight="1">
      <c r="A788"/>
      <c r="B788"/>
      <c r="C788"/>
      <c r="D788"/>
      <c r="E788"/>
      <c r="F788"/>
      <c r="G788"/>
      <c r="H788"/>
      <c r="I788"/>
      <c r="J788" s="1355"/>
      <c r="K788" s="1356"/>
      <c r="L788" s="1356"/>
      <c r="M788" s="1356"/>
      <c r="N788" s="1357"/>
      <c r="O788" s="1464"/>
      <c r="P788" s="1464"/>
      <c r="Q788" s="1464"/>
      <c r="R788" s="1464"/>
      <c r="S788" s="1464"/>
      <c r="T788" s="1607"/>
      <c r="U788" s="1608"/>
      <c r="V788" s="1608"/>
      <c r="W788" s="1609"/>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 customHeight="1">
      <c r="A789"/>
      <c r="B789"/>
      <c r="C789"/>
      <c r="D789"/>
      <c r="E789"/>
      <c r="F789"/>
      <c r="G789"/>
      <c r="H789"/>
      <c r="I789"/>
      <c r="J789" s="1355"/>
      <c r="K789" s="1356"/>
      <c r="L789" s="1356"/>
      <c r="M789" s="1356"/>
      <c r="N789" s="1357"/>
      <c r="O789" s="1464"/>
      <c r="P789" s="1464"/>
      <c r="Q789" s="1464"/>
      <c r="R789" s="1464"/>
      <c r="S789" s="1464"/>
      <c r="T789" s="1607"/>
      <c r="U789" s="1608"/>
      <c r="V789" s="1608"/>
      <c r="W789" s="1609"/>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 customHeight="1">
      <c r="A790"/>
      <c r="B790"/>
      <c r="C790"/>
      <c r="D790"/>
      <c r="E790"/>
      <c r="F790"/>
      <c r="G790"/>
      <c r="H790"/>
      <c r="I790"/>
      <c r="J790" s="1355"/>
      <c r="K790" s="1356"/>
      <c r="L790" s="1356"/>
      <c r="M790" s="1356"/>
      <c r="N790" s="1357"/>
      <c r="O790" s="1464"/>
      <c r="P790" s="1464"/>
      <c r="Q790" s="1464"/>
      <c r="R790" s="1464"/>
      <c r="S790" s="1464"/>
      <c r="T790" s="1607"/>
      <c r="U790" s="1608"/>
      <c r="V790" s="1608"/>
      <c r="W790" s="1609"/>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 customHeight="1">
      <c r="A791"/>
      <c r="B791"/>
      <c r="C791"/>
      <c r="D791"/>
      <c r="E791"/>
      <c r="F791"/>
      <c r="G791"/>
      <c r="H791"/>
      <c r="I791"/>
      <c r="J791" s="1355"/>
      <c r="K791" s="1356"/>
      <c r="L791" s="1356"/>
      <c r="M791" s="1356"/>
      <c r="N791" s="1357"/>
      <c r="O791" s="1464"/>
      <c r="P791" s="1464"/>
      <c r="Q791" s="1464"/>
      <c r="R791" s="1464"/>
      <c r="S791" s="1464"/>
      <c r="T791" s="1607"/>
      <c r="U791" s="1608"/>
      <c r="V791" s="1608"/>
      <c r="W791" s="1609"/>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 customHeight="1">
      <c r="A792"/>
      <c r="B792"/>
      <c r="C792"/>
      <c r="D792"/>
      <c r="E792"/>
      <c r="F792"/>
      <c r="G792"/>
      <c r="H792"/>
      <c r="I792"/>
      <c r="J792" s="1355"/>
      <c r="K792" s="1356"/>
      <c r="L792" s="1356"/>
      <c r="M792" s="1356"/>
      <c r="N792" s="1357"/>
      <c r="O792" s="1464"/>
      <c r="P792" s="1464"/>
      <c r="Q792" s="1464"/>
      <c r="R792" s="1464"/>
      <c r="S792" s="1464"/>
      <c r="T792" s="1607"/>
      <c r="U792" s="1608"/>
      <c r="V792" s="1608"/>
      <c r="W792" s="1609"/>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 customHeight="1">
      <c r="A793"/>
      <c r="B793"/>
      <c r="C793"/>
      <c r="D793"/>
      <c r="E793"/>
      <c r="F793"/>
      <c r="G793"/>
      <c r="H793"/>
      <c r="I793"/>
      <c r="J793" s="1355"/>
      <c r="K793" s="1356"/>
      <c r="L793" s="1356"/>
      <c r="M793" s="1356"/>
      <c r="N793" s="1357"/>
      <c r="O793" s="1464"/>
      <c r="P793" s="1464"/>
      <c r="Q793" s="1464"/>
      <c r="R793" s="1464"/>
      <c r="S793" s="1464"/>
      <c r="T793" s="1607"/>
      <c r="U793" s="1608"/>
      <c r="V793" s="1608"/>
      <c r="W793" s="1609"/>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 customHeight="1">
      <c r="A794"/>
      <c r="B794"/>
      <c r="C794"/>
      <c r="D794"/>
      <c r="E794"/>
      <c r="F794"/>
      <c r="G794"/>
      <c r="H794"/>
      <c r="I794"/>
      <c r="J794" s="1355"/>
      <c r="K794" s="1356"/>
      <c r="L794" s="1356"/>
      <c r="M794" s="1356"/>
      <c r="N794" s="1357"/>
      <c r="O794" s="1464"/>
      <c r="P794" s="1464"/>
      <c r="Q794" s="1464"/>
      <c r="R794" s="1464"/>
      <c r="S794" s="1464"/>
      <c r="T794" s="1607"/>
      <c r="U794" s="1608"/>
      <c r="V794" s="1608"/>
      <c r="W794" s="1609"/>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 customHeight="1">
      <c r="A795"/>
      <c r="B795"/>
      <c r="C795"/>
      <c r="D795"/>
      <c r="E795"/>
      <c r="F795"/>
      <c r="G795"/>
      <c r="H795"/>
      <c r="I795"/>
      <c r="J795" s="1355"/>
      <c r="K795" s="1356"/>
      <c r="L795" s="1356"/>
      <c r="M795" s="1356"/>
      <c r="N795" s="1357"/>
      <c r="O795" s="1464"/>
      <c r="P795" s="1464"/>
      <c r="Q795" s="1464"/>
      <c r="R795" s="1464"/>
      <c r="S795" s="1464"/>
      <c r="T795" s="1607"/>
      <c r="U795" s="1608"/>
      <c r="V795" s="1608"/>
      <c r="W795" s="1609"/>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 customHeight="1">
      <c r="A796"/>
      <c r="B796"/>
      <c r="C796"/>
      <c r="D796"/>
      <c r="E796"/>
      <c r="F796"/>
      <c r="G796"/>
      <c r="H796"/>
      <c r="I796"/>
      <c r="J796" s="1355"/>
      <c r="K796" s="1356"/>
      <c r="L796" s="1356"/>
      <c r="M796" s="1356"/>
      <c r="N796" s="1357"/>
      <c r="O796" s="1464"/>
      <c r="P796" s="1464"/>
      <c r="Q796" s="1464"/>
      <c r="R796" s="1464"/>
      <c r="S796" s="1464"/>
      <c r="T796" s="1607"/>
      <c r="U796" s="1608"/>
      <c r="V796" s="1608"/>
      <c r="W796" s="1609"/>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 customHeight="1">
      <c r="A797"/>
      <c r="B797"/>
      <c r="C797"/>
      <c r="D797"/>
      <c r="E797"/>
      <c r="F797"/>
      <c r="G797"/>
      <c r="H797"/>
      <c r="I797"/>
      <c r="J797" s="1408" t="s">
        <v>125</v>
      </c>
      <c r="K797" s="1409"/>
      <c r="L797" s="1409"/>
      <c r="M797" s="1409"/>
      <c r="N797" s="1411"/>
      <c r="O797" s="1627">
        <f>SUM(O787:S796)</f>
        <v>0</v>
      </c>
      <c r="P797" s="1627"/>
      <c r="Q797" s="1627"/>
      <c r="R797" s="1627"/>
      <c r="S797" s="1627"/>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179631.39</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2155576.6800000002</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33</v>
      </c>
      <c r="CV802" s="1349"/>
      <c r="CW802" s="1349"/>
      <c r="CX802" s="1349"/>
      <c r="CY802" s="1350"/>
      <c r="CZ802" s="1348">
        <f>CZ753+CZ777+CZ797</f>
        <v>24</v>
      </c>
      <c r="DA802" s="1349"/>
      <c r="DB802" s="1349"/>
      <c r="DC802" s="1349"/>
      <c r="DD802" s="1350"/>
      <c r="DE802" s="1348">
        <f>DE753+DE777+DE797</f>
        <v>23</v>
      </c>
      <c r="DF802" s="1349"/>
      <c r="DG802" s="1349"/>
      <c r="DH802" s="1349"/>
      <c r="DI802" s="1350"/>
      <c r="DJ802" s="1348">
        <f>DJ753+DJ777+DJ797</f>
        <v>10</v>
      </c>
      <c r="DK802" s="1349"/>
      <c r="DL802" s="1349"/>
      <c r="DM802" s="1349"/>
      <c r="DN802" s="1350"/>
      <c r="DO802" s="1351">
        <f>DO797+DO777+DO753</f>
        <v>0</v>
      </c>
      <c r="DP802" s="1352"/>
      <c r="DQ802" s="1352"/>
      <c r="DR802" s="1352"/>
      <c r="DS802" s="1353"/>
      <c r="DT802" s="3"/>
      <c r="DU802" s="861">
        <f>DU755+DU800</f>
        <v>188</v>
      </c>
      <c r="DV802" s="57" t="s">
        <v>1863</v>
      </c>
    </row>
    <row r="803" spans="1:126" s="4" customFormat="1" ht="12.9"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v>42</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0">
        <v>20</v>
      </c>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53509</v>
      </c>
      <c r="AA808" s="1521"/>
      <c r="AB808" s="1521"/>
      <c r="AC808" s="1521"/>
      <c r="AD808" s="1521"/>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904297.31999999983</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13350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5" t="s">
        <v>333</v>
      </c>
      <c r="Q816" s="1646"/>
      <c r="R816" s="1646"/>
      <c r="S816" s="1646"/>
      <c r="T816" s="1646"/>
      <c r="U816" s="1646"/>
      <c r="V816" s="1646"/>
      <c r="W816" s="1646"/>
      <c r="X816" s="1646"/>
      <c r="Y816" s="1647"/>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13350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2">
        <f>Z817+Y801+Z809</f>
        <v>3073224</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9" t="s">
        <v>126</v>
      </c>
      <c r="N823" s="1689"/>
      <c r="O823" s="1689"/>
      <c r="P823" s="1690"/>
      <c r="Q823" s="1624" t="s">
        <v>289</v>
      </c>
      <c r="R823" s="1624"/>
      <c r="S823" s="1624"/>
      <c r="T823" s="1624"/>
      <c r="U823" s="1624" t="s">
        <v>290</v>
      </c>
      <c r="V823" s="1624"/>
      <c r="W823" s="1624"/>
      <c r="X823" s="1624"/>
      <c r="Y823" s="1624" t="s">
        <v>291</v>
      </c>
      <c r="Z823" s="1624"/>
      <c r="AA823" s="1624"/>
      <c r="AB823" s="1624"/>
      <c r="AC823" s="1624" t="s">
        <v>360</v>
      </c>
      <c r="AD823" s="1624"/>
      <c r="AE823" s="1624"/>
      <c r="AF823" s="1624"/>
      <c r="AG823" s="1619" t="s">
        <v>334</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6" t="s">
        <v>40</v>
      </c>
      <c r="D825" s="1483"/>
      <c r="E825" s="1483"/>
      <c r="F825" s="1483"/>
      <c r="G825" s="1483"/>
      <c r="H825" s="1483"/>
      <c r="I825" s="48"/>
      <c r="J825" s="48"/>
      <c r="K825" s="48"/>
      <c r="L825" s="49"/>
      <c r="M825" s="1603"/>
      <c r="N825" s="1603"/>
      <c r="O825" s="1603"/>
      <c r="P825" s="1603"/>
      <c r="Q825" s="1603">
        <v>48</v>
      </c>
      <c r="R825" s="1603"/>
      <c r="S825" s="1603"/>
      <c r="T825" s="1603"/>
      <c r="U825" s="1603">
        <v>61</v>
      </c>
      <c r="V825" s="1603"/>
      <c r="W825" s="1603"/>
      <c r="X825" s="1603"/>
      <c r="Y825" s="1603">
        <v>74</v>
      </c>
      <c r="Z825" s="1603"/>
      <c r="AA825" s="1603"/>
      <c r="AB825" s="1603"/>
      <c r="AC825" s="1490">
        <v>88</v>
      </c>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4" t="s">
        <v>41</v>
      </c>
      <c r="D826" s="1441"/>
      <c r="E826" s="1441"/>
      <c r="F826" s="1441"/>
      <c r="G826" s="1441"/>
      <c r="H826" s="1441"/>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4" t="s">
        <v>42</v>
      </c>
      <c r="D827" s="1441"/>
      <c r="E827" s="1441"/>
      <c r="F827" s="1441"/>
      <c r="G827" s="1441"/>
      <c r="H827" s="1441"/>
      <c r="I827" s="60"/>
      <c r="J827" s="60"/>
      <c r="K827" s="60"/>
      <c r="L827" s="61"/>
      <c r="M827" s="1603"/>
      <c r="N827" s="1603"/>
      <c r="O827" s="1603"/>
      <c r="P827" s="1603"/>
      <c r="Q827" s="1603">
        <v>21</v>
      </c>
      <c r="R827" s="1603"/>
      <c r="S827" s="1603"/>
      <c r="T827" s="1603"/>
      <c r="U827" s="1603">
        <v>30</v>
      </c>
      <c r="V827" s="1603"/>
      <c r="W827" s="1603"/>
      <c r="X827" s="1603"/>
      <c r="Y827" s="1603">
        <v>39</v>
      </c>
      <c r="Z827" s="1603"/>
      <c r="AA827" s="1603"/>
      <c r="AB827" s="1603"/>
      <c r="AC827" s="1490">
        <v>48</v>
      </c>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4" t="s">
        <v>761</v>
      </c>
      <c r="D828" s="1441"/>
      <c r="E828" s="1441"/>
      <c r="F828" s="1441"/>
      <c r="G828" s="1441"/>
      <c r="H828" s="1441"/>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4" t="s">
        <v>458</v>
      </c>
      <c r="D829" s="1441"/>
      <c r="E829" s="1441"/>
      <c r="F829" s="1441"/>
      <c r="G829" s="1441"/>
      <c r="H829" s="1441"/>
      <c r="I829" s="60"/>
      <c r="J829" s="60"/>
      <c r="K829" s="60"/>
      <c r="L829" s="61"/>
      <c r="M829" s="1603"/>
      <c r="N829" s="1603"/>
      <c r="O829" s="1603"/>
      <c r="P829" s="1603"/>
      <c r="Q829" s="1603">
        <v>69</v>
      </c>
      <c r="R829" s="1603"/>
      <c r="S829" s="1603"/>
      <c r="T829" s="1603"/>
      <c r="U829" s="1603">
        <v>100</v>
      </c>
      <c r="V829" s="1603"/>
      <c r="W829" s="1603"/>
      <c r="X829" s="1603"/>
      <c r="Y829" s="1603">
        <v>135</v>
      </c>
      <c r="Z829" s="1603"/>
      <c r="AA829" s="1603"/>
      <c r="AB829" s="1603"/>
      <c r="AC829" s="1490">
        <v>172</v>
      </c>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4" t="s">
        <v>782</v>
      </c>
      <c r="D830" s="1441"/>
      <c r="E830" s="1441"/>
      <c r="F830" s="1441"/>
      <c r="G830" s="1441"/>
      <c r="H830" s="1441"/>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5" t="s">
        <v>333</v>
      </c>
      <c r="G831" s="1646"/>
      <c r="H831" s="1646"/>
      <c r="I831" s="1646"/>
      <c r="J831" s="1646"/>
      <c r="K831" s="1646"/>
      <c r="L831" s="1646"/>
      <c r="M831" s="1603"/>
      <c r="N831" s="1603"/>
      <c r="O831" s="1603"/>
      <c r="P831" s="1603"/>
      <c r="Q831" s="1603"/>
      <c r="R831" s="1603"/>
      <c r="S831" s="1603"/>
      <c r="T831" s="1603"/>
      <c r="U831" s="1603"/>
      <c r="V831" s="1603"/>
      <c r="W831" s="1603"/>
      <c r="X831" s="1603"/>
      <c r="Y831" s="1603"/>
      <c r="Z831" s="1603"/>
      <c r="AA831" s="1603"/>
      <c r="AB831" s="1603"/>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8" t="s">
        <v>124</v>
      </c>
      <c r="D832" s="1409"/>
      <c r="E832" s="1409"/>
      <c r="F832" s="1409"/>
      <c r="G832" s="1409"/>
      <c r="H832" s="1409"/>
      <c r="I832" s="1409"/>
      <c r="J832" s="1409"/>
      <c r="K832" s="1409"/>
      <c r="L832" s="1411"/>
      <c r="M832" s="1652">
        <f>SUM(M825:P831)</f>
        <v>0</v>
      </c>
      <c r="N832" s="1652"/>
      <c r="O832" s="1652"/>
      <c r="P832" s="1652"/>
      <c r="Q832" s="1652">
        <f>SUM(Q825:T831)</f>
        <v>138</v>
      </c>
      <c r="R832" s="1652"/>
      <c r="S832" s="1652"/>
      <c r="T832" s="1652"/>
      <c r="U832" s="1652">
        <f>SUM(U825:X831)</f>
        <v>191</v>
      </c>
      <c r="V832" s="1652"/>
      <c r="W832" s="1652"/>
      <c r="X832" s="1652"/>
      <c r="Y832" s="1652">
        <f>SUM(Y825:AB831)</f>
        <v>248</v>
      </c>
      <c r="Z832" s="1652"/>
      <c r="AA832" s="1652"/>
      <c r="AB832" s="1652"/>
      <c r="AC832" s="1652">
        <f>SUM(AC825:AF831)</f>
        <v>308</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8" t="s">
        <v>2700</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1">
        <v>4241</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1">
        <f>25000-4780</f>
        <v>20220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1">
        <v>24759</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1"/>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 customHeight="1">
      <c r="J846" s="45" t="s">
        <v>169</v>
      </c>
      <c r="K846" s="5"/>
      <c r="L846" s="5"/>
      <c r="M846" s="1645" t="s">
        <v>2709</v>
      </c>
      <c r="N846" s="1646"/>
      <c r="O846" s="1646"/>
      <c r="P846" s="1646"/>
      <c r="Q846" s="1646"/>
      <c r="R846" s="1646"/>
      <c r="S846" s="1646"/>
      <c r="T846" s="1646"/>
      <c r="U846" s="1646"/>
      <c r="V846" s="1647"/>
      <c r="W846" s="1641">
        <v>27352</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2">
        <f>SUM(W842:W846)</f>
        <v>76572</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7"/>
      <c r="BH848" s="1637"/>
      <c r="BI848" s="1637"/>
      <c r="BJ848" s="1637"/>
      <c r="BK848" s="1637"/>
      <c r="BL848" s="1637"/>
    </row>
    <row r="849" spans="3:55" ht="12.9" customHeight="1">
      <c r="C849" s="2" t="s">
        <v>343</v>
      </c>
      <c r="J849" s="1408" t="s">
        <v>344</v>
      </c>
      <c r="K849" s="1409"/>
      <c r="L849" s="1409"/>
      <c r="M849" s="1409"/>
      <c r="N849" s="1409"/>
      <c r="O849" s="1409"/>
      <c r="P849" s="1409"/>
      <c r="Q849" s="1409"/>
      <c r="R849" s="1409"/>
      <c r="S849" s="1409"/>
      <c r="T849" s="1409"/>
      <c r="U849" s="1409"/>
      <c r="V849" s="1411"/>
      <c r="W849" s="1475">
        <f>84780</f>
        <v>84780</v>
      </c>
      <c r="X849" s="1338"/>
      <c r="Y849" s="1338"/>
      <c r="Z849" s="1338"/>
      <c r="AA849" s="1338"/>
      <c r="AB849" s="1338"/>
      <c r="AC849" s="1339"/>
      <c r="AD849" s="533"/>
      <c r="AZ849" s="30"/>
      <c r="BA849" s="30"/>
      <c r="BB849" s="14"/>
      <c r="BC849" s="14"/>
    </row>
    <row r="850" spans="3:55" ht="12.9" customHeight="1">
      <c r="AD850" s="533"/>
      <c r="AZ850" s="30"/>
      <c r="BA850" s="30"/>
      <c r="BB850" s="14"/>
      <c r="BC850" s="14"/>
    </row>
    <row r="851" spans="3:55" ht="12.9" customHeight="1">
      <c r="C851" s="2" t="s">
        <v>560</v>
      </c>
      <c r="J851" s="45" t="s">
        <v>351</v>
      </c>
      <c r="K851" s="5"/>
      <c r="L851" s="5"/>
      <c r="M851" s="5"/>
      <c r="N851" s="5"/>
      <c r="O851" s="5"/>
      <c r="P851" s="5"/>
      <c r="Q851" s="5"/>
      <c r="R851" s="5"/>
      <c r="S851" s="5"/>
      <c r="T851" s="5"/>
      <c r="U851" s="5"/>
      <c r="V851" s="46"/>
      <c r="W851" s="1656"/>
      <c r="X851" s="1656"/>
      <c r="Y851" s="1656"/>
      <c r="Z851" s="1656"/>
      <c r="AA851" s="1656"/>
      <c r="AB851" s="1656"/>
      <c r="AC851" s="1656"/>
      <c r="AZ851" s="1623"/>
      <c r="BA851" s="1623"/>
      <c r="BB851" s="14"/>
      <c r="BC851" s="14"/>
    </row>
    <row r="852" spans="3:55" ht="12.9" customHeight="1">
      <c r="J852" s="45" t="s">
        <v>350</v>
      </c>
      <c r="K852" s="5"/>
      <c r="L852" s="5"/>
      <c r="M852" s="5"/>
      <c r="N852" s="5"/>
      <c r="O852" s="5"/>
      <c r="P852" s="5"/>
      <c r="Q852" s="5"/>
      <c r="R852" s="5"/>
      <c r="S852" s="5"/>
      <c r="T852" s="5"/>
      <c r="U852" s="5"/>
      <c r="V852" s="46"/>
      <c r="W852" s="1656"/>
      <c r="X852" s="1656"/>
      <c r="Y852" s="1656"/>
      <c r="Z852" s="1656"/>
      <c r="AA852" s="1656"/>
      <c r="AB852" s="1656"/>
      <c r="AC852" s="1656"/>
      <c r="AZ852" s="30"/>
      <c r="BA852" s="30"/>
      <c r="BB852" s="14"/>
      <c r="BC852" s="14"/>
    </row>
    <row r="853" spans="3:55" ht="12.9" customHeight="1">
      <c r="J853" s="45" t="s">
        <v>458</v>
      </c>
      <c r="K853" s="5"/>
      <c r="L853" s="5"/>
      <c r="M853" s="5"/>
      <c r="N853" s="5"/>
      <c r="O853" s="5"/>
      <c r="P853" s="5"/>
      <c r="Q853" s="5"/>
      <c r="R853" s="5"/>
      <c r="S853" s="5"/>
      <c r="T853" s="5"/>
      <c r="U853" s="5"/>
      <c r="V853" s="46"/>
      <c r="W853" s="1656">
        <v>121000</v>
      </c>
      <c r="X853" s="1656"/>
      <c r="Y853" s="1656"/>
      <c r="Z853" s="1656"/>
      <c r="AA853" s="1656"/>
      <c r="AB853" s="1656"/>
      <c r="AC853" s="1656"/>
      <c r="AZ853" s="30"/>
      <c r="BA853" s="30"/>
      <c r="BB853" s="14"/>
      <c r="BC853" s="14"/>
    </row>
    <row r="854" spans="3:55" ht="12.9" customHeight="1">
      <c r="J854" s="62" t="s">
        <v>619</v>
      </c>
      <c r="K854" s="5"/>
      <c r="L854" s="5"/>
      <c r="M854" s="5"/>
      <c r="N854" s="5"/>
      <c r="O854" s="5"/>
      <c r="P854" s="5"/>
      <c r="Q854" s="5"/>
      <c r="R854" s="5"/>
      <c r="S854" s="5"/>
      <c r="T854" s="5"/>
      <c r="U854" s="5"/>
      <c r="V854" s="46"/>
      <c r="W854" s="1656">
        <v>86775</v>
      </c>
      <c r="X854" s="1656"/>
      <c r="Y854" s="1656"/>
      <c r="Z854" s="1656"/>
      <c r="AA854" s="1656"/>
      <c r="AB854" s="1656"/>
      <c r="AC854" s="1656"/>
      <c r="AZ854" s="34"/>
      <c r="BA854" s="34"/>
      <c r="BB854" s="34"/>
      <c r="BC854" s="34"/>
    </row>
    <row r="855" spans="3:55" ht="12.9" customHeight="1">
      <c r="J855" s="63"/>
      <c r="K855" s="48"/>
      <c r="L855" s="48"/>
      <c r="M855" s="48"/>
      <c r="N855" s="48"/>
      <c r="O855" s="48"/>
      <c r="P855" s="48"/>
      <c r="Q855" s="48"/>
      <c r="R855" s="48"/>
      <c r="S855" s="48"/>
      <c r="T855" s="48"/>
      <c r="U855" s="48"/>
      <c r="V855" s="54" t="s">
        <v>271</v>
      </c>
      <c r="W855" s="1657">
        <f>SUM(W851:W854)</f>
        <v>207775</v>
      </c>
      <c r="X855" s="1657"/>
      <c r="Y855" s="1657"/>
      <c r="Z855" s="1657"/>
      <c r="AA855" s="1657"/>
      <c r="AB855" s="1657"/>
      <c r="AC855" s="1657"/>
      <c r="AZ855" s="34"/>
      <c r="BA855" s="34"/>
      <c r="BB855" s="34"/>
      <c r="BC855" s="34"/>
    </row>
    <row r="856" spans="3:55" ht="12.9" customHeight="1">
      <c r="AZ856" s="34"/>
      <c r="BA856" s="34"/>
      <c r="BB856" s="34"/>
      <c r="BC856" s="34"/>
    </row>
    <row r="857" spans="3:55" ht="12.9" customHeight="1">
      <c r="C857" s="2" t="s">
        <v>345</v>
      </c>
      <c r="J857" s="45" t="s">
        <v>618</v>
      </c>
      <c r="K857" s="5"/>
      <c r="L857" s="5"/>
      <c r="M857" s="5"/>
      <c r="N857" s="5"/>
      <c r="O857" s="5"/>
      <c r="P857" s="5"/>
      <c r="Q857" s="5"/>
      <c r="R857" s="5"/>
      <c r="S857" s="5"/>
      <c r="T857" s="5"/>
      <c r="U857" s="5"/>
      <c r="V857" s="46"/>
      <c r="W857" s="1653">
        <f>80909+54691</f>
        <v>135600</v>
      </c>
      <c r="X857" s="1654"/>
      <c r="Y857" s="1654"/>
      <c r="Z857" s="1654"/>
      <c r="AA857" s="1654"/>
      <c r="AB857" s="1654"/>
      <c r="AC857" s="1655"/>
      <c r="AD857" s="528"/>
      <c r="AZ857" s="34"/>
      <c r="BA857" s="34"/>
      <c r="BB857" s="34"/>
      <c r="BC857" s="34"/>
    </row>
    <row r="858" spans="3:55" ht="12.9" customHeight="1">
      <c r="C858" s="2" t="s">
        <v>346</v>
      </c>
      <c r="J858" s="121" t="s">
        <v>1654</v>
      </c>
      <c r="K858" s="5"/>
      <c r="L858" s="5"/>
      <c r="M858" s="5"/>
      <c r="N858" s="5"/>
      <c r="O858" s="5"/>
      <c r="P858" s="5"/>
      <c r="Q858" s="5"/>
      <c r="R858" s="5"/>
      <c r="S858" s="5"/>
      <c r="T858" s="1639">
        <v>3</v>
      </c>
      <c r="U858" s="1602"/>
      <c r="V858" s="1640"/>
      <c r="W858" s="874"/>
      <c r="X858" s="875"/>
      <c r="Y858" s="875"/>
      <c r="Z858" s="875"/>
      <c r="AA858" s="875"/>
      <c r="AB858" s="875"/>
      <c r="AC858" s="876"/>
      <c r="AD858" s="528"/>
      <c r="AZ858" s="34"/>
      <c r="BA858" s="34"/>
      <c r="BB858" s="34"/>
      <c r="BC858" s="34"/>
    </row>
    <row r="859" spans="3:55" ht="12.9" customHeight="1">
      <c r="C859" s="2"/>
      <c r="J859" s="45" t="s">
        <v>617</v>
      </c>
      <c r="K859" s="5"/>
      <c r="L859" s="5"/>
      <c r="M859" s="5"/>
      <c r="N859" s="5"/>
      <c r="O859" s="5"/>
      <c r="P859" s="5"/>
      <c r="Q859" s="5"/>
      <c r="R859" s="5"/>
      <c r="S859" s="5"/>
      <c r="T859" s="5"/>
      <c r="U859" s="5"/>
      <c r="V859" s="46"/>
      <c r="W859" s="1653">
        <f>68977+48548</f>
        <v>117525</v>
      </c>
      <c r="X859" s="1654"/>
      <c r="Y859" s="1654"/>
      <c r="Z859" s="1654"/>
      <c r="AA859" s="1654"/>
      <c r="AB859" s="1654"/>
      <c r="AC859" s="1655"/>
      <c r="AD859" s="533"/>
      <c r="AZ859" s="34"/>
      <c r="BA859" s="34"/>
      <c r="BB859" s="34"/>
      <c r="BC859" s="34"/>
    </row>
    <row r="860" spans="3:55" ht="12.9" customHeight="1">
      <c r="C860" s="2"/>
      <c r="J860" s="121" t="s">
        <v>1655</v>
      </c>
      <c r="K860" s="5"/>
      <c r="L860" s="5"/>
      <c r="M860" s="5"/>
      <c r="N860" s="5"/>
      <c r="O860" s="5"/>
      <c r="P860" s="5"/>
      <c r="Q860" s="5"/>
      <c r="R860" s="5"/>
      <c r="S860" s="5"/>
      <c r="T860" s="1639">
        <v>1</v>
      </c>
      <c r="U860" s="1602"/>
      <c r="V860" s="1640"/>
      <c r="W860" s="874"/>
      <c r="X860" s="875"/>
      <c r="Y860" s="875"/>
      <c r="Z860" s="875"/>
      <c r="AA860" s="875"/>
      <c r="AB860" s="875"/>
      <c r="AC860" s="876"/>
      <c r="AD860" s="533"/>
      <c r="AZ860" s="34"/>
      <c r="BA860" s="34"/>
      <c r="BB860" s="34"/>
      <c r="BC860" s="34"/>
    </row>
    <row r="861" spans="3:55" ht="12.9" customHeight="1">
      <c r="J861" s="45" t="s">
        <v>169</v>
      </c>
      <c r="K861" s="5"/>
      <c r="L861" s="5"/>
      <c r="M861" s="1645" t="s">
        <v>2706</v>
      </c>
      <c r="N861" s="1646"/>
      <c r="O861" s="1646"/>
      <c r="P861" s="1646"/>
      <c r="Q861" s="1646"/>
      <c r="R861" s="1646"/>
      <c r="S861" s="1646"/>
      <c r="T861" s="1646"/>
      <c r="U861" s="1646"/>
      <c r="V861" s="1647"/>
      <c r="W861" s="1653">
        <f>19203+37800+11522</f>
        <v>68525</v>
      </c>
      <c r="X861" s="1654"/>
      <c r="Y861" s="1654"/>
      <c r="Z861" s="1654"/>
      <c r="AA861" s="1654"/>
      <c r="AB861" s="1654"/>
      <c r="AC861" s="1655"/>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2">
        <f>SUM(W857:W861)</f>
        <v>321650</v>
      </c>
      <c r="X862" s="1643"/>
      <c r="Y862" s="1643"/>
      <c r="Z862" s="1643"/>
      <c r="AA862" s="1643"/>
      <c r="AB862" s="1643"/>
      <c r="AC862" s="1644"/>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3">
        <v>108000</v>
      </c>
      <c r="X863" s="1654"/>
      <c r="Y863" s="1654"/>
      <c r="Z863" s="1654"/>
      <c r="AA863" s="1654"/>
      <c r="AB863" s="1654"/>
      <c r="AC863" s="1655"/>
      <c r="AU863" s="14"/>
      <c r="AZ863" s="34"/>
      <c r="BA863" s="34"/>
      <c r="BB863" s="34"/>
      <c r="BC863" s="34"/>
    </row>
    <row r="864" spans="3:55" ht="12.9" customHeight="1">
      <c r="J864" s="512"/>
      <c r="AU864" s="14"/>
      <c r="AZ864" s="34"/>
      <c r="BA864" s="34"/>
      <c r="BB864" s="34"/>
      <c r="BC864" s="34"/>
    </row>
    <row r="865" spans="3:55" ht="12.9" customHeight="1">
      <c r="C865" s="2" t="s">
        <v>389</v>
      </c>
      <c r="J865" s="45" t="s">
        <v>616</v>
      </c>
      <c r="K865" s="5"/>
      <c r="L865" s="5"/>
      <c r="M865" s="5"/>
      <c r="N865" s="5"/>
      <c r="O865" s="5"/>
      <c r="P865" s="5"/>
      <c r="Q865" s="5"/>
      <c r="R865" s="5"/>
      <c r="S865" s="5"/>
      <c r="T865" s="5"/>
      <c r="U865" s="5"/>
      <c r="V865" s="46"/>
      <c r="W865" s="1641">
        <v>11500</v>
      </c>
      <c r="X865" s="1641"/>
      <c r="Y865" s="1641"/>
      <c r="Z865" s="1641"/>
      <c r="AA865" s="1641"/>
      <c r="AB865" s="1641"/>
      <c r="AC865" s="1641"/>
      <c r="AU865" s="14"/>
      <c r="AZ865" s="34"/>
      <c r="BA865" s="34"/>
      <c r="BB865" s="34"/>
      <c r="BC865" s="34"/>
    </row>
    <row r="866" spans="3:55" ht="12.9" customHeight="1">
      <c r="J866" s="45" t="s">
        <v>521</v>
      </c>
      <c r="K866" s="5"/>
      <c r="L866" s="5"/>
      <c r="M866" s="5"/>
      <c r="N866" s="5"/>
      <c r="O866" s="5"/>
      <c r="P866" s="5"/>
      <c r="Q866" s="5"/>
      <c r="R866" s="5"/>
      <c r="S866" s="5"/>
      <c r="T866" s="5"/>
      <c r="U866" s="5"/>
      <c r="V866" s="46"/>
      <c r="W866" s="1641">
        <v>25500</v>
      </c>
      <c r="X866" s="1641"/>
      <c r="Y866" s="1641"/>
      <c r="Z866" s="1641"/>
      <c r="AA866" s="1641"/>
      <c r="AB866" s="1641"/>
      <c r="AC866" s="1641"/>
      <c r="AU866" s="4"/>
      <c r="AZ866" s="34"/>
      <c r="BA866" s="34"/>
      <c r="BB866" s="34"/>
      <c r="BC866" s="34"/>
    </row>
    <row r="867" spans="3:55" ht="12.9" customHeight="1">
      <c r="J867" s="45" t="s">
        <v>520</v>
      </c>
      <c r="K867" s="5"/>
      <c r="L867" s="5"/>
      <c r="M867" s="5"/>
      <c r="N867" s="5"/>
      <c r="O867" s="5"/>
      <c r="P867" s="5"/>
      <c r="Q867" s="5"/>
      <c r="R867" s="5"/>
      <c r="S867" s="5"/>
      <c r="T867" s="5"/>
      <c r="U867" s="5"/>
      <c r="V867" s="46"/>
      <c r="W867" s="1641">
        <v>33315</v>
      </c>
      <c r="X867" s="1641"/>
      <c r="Y867" s="1641"/>
      <c r="Z867" s="1641"/>
      <c r="AA867" s="1641"/>
      <c r="AB867" s="1641"/>
      <c r="AC867" s="1641"/>
      <c r="AU867" s="4"/>
      <c r="AZ867" s="34"/>
      <c r="BA867" s="34"/>
      <c r="BB867" s="34"/>
      <c r="BC867" s="34"/>
    </row>
    <row r="868" spans="3:55" ht="12.9" customHeight="1">
      <c r="J868" s="45" t="s">
        <v>519</v>
      </c>
      <c r="K868" s="5"/>
      <c r="L868" s="5"/>
      <c r="M868" s="5"/>
      <c r="N868" s="5"/>
      <c r="O868" s="5"/>
      <c r="P868" s="5"/>
      <c r="Q868" s="5"/>
      <c r="R868" s="5"/>
      <c r="S868" s="5"/>
      <c r="T868" s="5"/>
      <c r="U868" s="5"/>
      <c r="V868" s="46"/>
      <c r="W868" s="1641">
        <v>9949</v>
      </c>
      <c r="X868" s="1641"/>
      <c r="Y868" s="1641"/>
      <c r="Z868" s="1641"/>
      <c r="AA868" s="1641"/>
      <c r="AB868" s="1641"/>
      <c r="AC868" s="1641"/>
      <c r="AU868" s="4"/>
      <c r="AZ868" s="34"/>
      <c r="BA868" s="34"/>
      <c r="BB868" s="34"/>
      <c r="BC868" s="34"/>
    </row>
    <row r="869" spans="3:55" ht="12.9" customHeight="1">
      <c r="J869" s="45" t="s">
        <v>518</v>
      </c>
      <c r="K869" s="5"/>
      <c r="L869" s="5"/>
      <c r="M869" s="5"/>
      <c r="N869" s="5"/>
      <c r="O869" s="5"/>
      <c r="P869" s="5"/>
      <c r="Q869" s="5"/>
      <c r="R869" s="5"/>
      <c r="S869" s="5"/>
      <c r="T869" s="5"/>
      <c r="U869" s="5"/>
      <c r="V869" s="46"/>
      <c r="W869" s="1641">
        <f>10000+5440</f>
        <v>15440</v>
      </c>
      <c r="X869" s="1641"/>
      <c r="Y869" s="1641"/>
      <c r="Z869" s="1641"/>
      <c r="AA869" s="1641"/>
      <c r="AB869" s="1641"/>
      <c r="AC869" s="1641"/>
      <c r="AU869" s="4"/>
      <c r="AZ869" s="34"/>
      <c r="BA869" s="34"/>
      <c r="BB869" s="34"/>
      <c r="BC869" s="34"/>
    </row>
    <row r="870" spans="3:55" ht="12.9" customHeight="1">
      <c r="J870" s="45" t="s">
        <v>517</v>
      </c>
      <c r="K870" s="5"/>
      <c r="L870" s="5"/>
      <c r="M870" s="5"/>
      <c r="N870" s="5"/>
      <c r="O870" s="5"/>
      <c r="P870" s="5"/>
      <c r="Q870" s="5"/>
      <c r="R870" s="5"/>
      <c r="S870" s="5"/>
      <c r="T870" s="5"/>
      <c r="U870" s="5"/>
      <c r="V870" s="46"/>
      <c r="W870" s="1641">
        <v>12000</v>
      </c>
      <c r="X870" s="1641"/>
      <c r="Y870" s="1641"/>
      <c r="Z870" s="1641"/>
      <c r="AA870" s="1641"/>
      <c r="AB870" s="1641"/>
      <c r="AC870" s="1641"/>
      <c r="AU870" s="4"/>
      <c r="AZ870" s="34"/>
      <c r="BA870" s="34"/>
      <c r="BB870" s="34"/>
      <c r="BC870" s="34"/>
    </row>
    <row r="871" spans="3:55" ht="12.9" customHeight="1">
      <c r="J871" s="45" t="s">
        <v>169</v>
      </c>
      <c r="K871" s="5"/>
      <c r="L871" s="5"/>
      <c r="M871" s="1645" t="s">
        <v>2705</v>
      </c>
      <c r="N871" s="1646"/>
      <c r="O871" s="1646"/>
      <c r="P871" s="1646"/>
      <c r="Q871" s="1646"/>
      <c r="R871" s="1646"/>
      <c r="S871" s="1646"/>
      <c r="T871" s="1646"/>
      <c r="U871" s="1646"/>
      <c r="V871" s="1647"/>
      <c r="W871" s="1641">
        <v>25544</v>
      </c>
      <c r="X871" s="1641"/>
      <c r="Y871" s="1641"/>
      <c r="Z871" s="1641"/>
      <c r="AA871" s="1641"/>
      <c r="AB871" s="1641"/>
      <c r="AC871" s="1641"/>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4">
        <f>SUM(W865:W871)</f>
        <v>133248</v>
      </c>
      <c r="X872" s="1604"/>
      <c r="Y872" s="1604"/>
      <c r="Z872" s="1604"/>
      <c r="AA872" s="1604"/>
      <c r="AB872" s="1604"/>
      <c r="AC872" s="1604"/>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1242</v>
      </c>
      <c r="J874" s="45" t="s">
        <v>169</v>
      </c>
      <c r="K874" s="5"/>
      <c r="L874" s="5"/>
      <c r="M874" s="1645" t="s">
        <v>2707</v>
      </c>
      <c r="N874" s="1646"/>
      <c r="O874" s="1646"/>
      <c r="P874" s="1646"/>
      <c r="Q874" s="1646"/>
      <c r="R874" s="1646"/>
      <c r="S874" s="1646"/>
      <c r="T874" s="1646"/>
      <c r="U874" s="1646"/>
      <c r="V874" s="1647"/>
      <c r="W874" s="1475">
        <v>8000</v>
      </c>
      <c r="X874" s="1338"/>
      <c r="Y874" s="1338"/>
      <c r="Z874" s="1338"/>
      <c r="AA874" s="1338"/>
      <c r="AB874" s="1338"/>
      <c r="AC874" s="1339"/>
      <c r="AD874" s="533"/>
      <c r="AV874" s="14"/>
      <c r="AW874" s="14"/>
      <c r="AX874" s="14"/>
      <c r="AY874" s="14"/>
      <c r="AZ874" s="34"/>
      <c r="BA874" s="34"/>
      <c r="BB874" s="34"/>
      <c r="BC874" s="34"/>
    </row>
    <row r="875" spans="3:55" ht="12.9" customHeight="1">
      <c r="C875" s="2" t="s">
        <v>1243</v>
      </c>
      <c r="J875" s="45" t="s">
        <v>169</v>
      </c>
      <c r="K875" s="5"/>
      <c r="L875" s="5"/>
      <c r="M875" s="1645" t="s">
        <v>2708</v>
      </c>
      <c r="N875" s="1646"/>
      <c r="O875" s="1646"/>
      <c r="P875" s="1646"/>
      <c r="Q875" s="1646"/>
      <c r="R875" s="1646"/>
      <c r="S875" s="1646"/>
      <c r="T875" s="1646"/>
      <c r="U875" s="1646"/>
      <c r="V875" s="1647"/>
      <c r="W875" s="1475">
        <v>12000</v>
      </c>
      <c r="X875" s="1338"/>
      <c r="Y875" s="1338"/>
      <c r="Z875" s="1338"/>
      <c r="AA875" s="1338"/>
      <c r="AB875" s="1338"/>
      <c r="AC875" s="1339"/>
      <c r="AD875" s="533"/>
      <c r="AV875" s="14"/>
      <c r="AW875" s="14"/>
      <c r="AX875" s="14"/>
      <c r="AY875" s="14"/>
      <c r="AZ875" s="34"/>
      <c r="BA875" s="34"/>
      <c r="BB875" s="34"/>
      <c r="BC875" s="34"/>
    </row>
    <row r="876" spans="3:55" ht="12.9" customHeight="1">
      <c r="J876" s="45" t="s">
        <v>169</v>
      </c>
      <c r="K876" s="5"/>
      <c r="L876" s="5"/>
      <c r="M876" s="1645" t="s">
        <v>333</v>
      </c>
      <c r="N876" s="1646"/>
      <c r="O876" s="1646"/>
      <c r="P876" s="1646"/>
      <c r="Q876" s="1646"/>
      <c r="R876" s="1646"/>
      <c r="S876" s="1646"/>
      <c r="T876" s="1646"/>
      <c r="U876" s="1646"/>
      <c r="V876" s="1647"/>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5" t="s">
        <v>333</v>
      </c>
      <c r="N877" s="1646"/>
      <c r="O877" s="1646"/>
      <c r="P877" s="1646"/>
      <c r="Q877" s="1646"/>
      <c r="R877" s="1646"/>
      <c r="S877" s="1646"/>
      <c r="T877" s="1646"/>
      <c r="U877" s="1646"/>
      <c r="V877" s="1647"/>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5" t="s">
        <v>333</v>
      </c>
      <c r="N878" s="1646"/>
      <c r="O878" s="1646"/>
      <c r="P878" s="1646"/>
      <c r="Q878" s="1646"/>
      <c r="R878" s="1646"/>
      <c r="S878" s="1646"/>
      <c r="T878" s="1646"/>
      <c r="U878" s="1646"/>
      <c r="V878" s="1647"/>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2">
        <f>SUM(W874:W878)</f>
        <v>20000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952025</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48">
        <f>O797+O777+G753</f>
        <v>90</v>
      </c>
      <c r="AD884" s="1648"/>
      <c r="AE884" s="1648"/>
      <c r="AF884" s="1648"/>
      <c r="AG884" s="1648"/>
      <c r="AH884" s="1649"/>
      <c r="AL884" s="4"/>
      <c r="AM884" s="4"/>
      <c r="AN884" s="4"/>
      <c r="AO884" s="4"/>
      <c r="AP884" s="4"/>
      <c r="AQ884" s="4"/>
      <c r="AR884" s="4"/>
      <c r="AS884" s="4"/>
      <c r="AT884" s="4"/>
      <c r="AZ884" s="34"/>
      <c r="BA884" s="34"/>
      <c r="BB884" s="34"/>
      <c r="BC884" s="34"/>
    </row>
    <row r="885" spans="3:55" ht="12.9"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4">
        <f>IF(ISERROR((ROUNDDOWN(AC883/AC884,0))),0,(ROUNDDOWN(AC883/AC884,0)))</f>
        <v>10578</v>
      </c>
      <c r="AD885" s="1604"/>
      <c r="AE885" s="1604"/>
      <c r="AF885" s="1604"/>
      <c r="AG885" s="1604"/>
      <c r="AH885" s="1604"/>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50">
        <f>'Sources and Uses Budget'!C75</f>
        <v>669923</v>
      </c>
      <c r="AD886" s="1651"/>
      <c r="AE886" s="1651"/>
      <c r="AF886" s="1651"/>
      <c r="AG886" s="1651"/>
      <c r="AH886" s="1651"/>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c r="AD887" s="1641"/>
      <c r="AE887" s="1641"/>
      <c r="AF887" s="1641"/>
      <c r="AG887" s="1641"/>
      <c r="AH887" s="1641"/>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f>42500+5000</f>
        <v>47500</v>
      </c>
      <c r="AD888" s="1338"/>
      <c r="AE888" s="1338"/>
      <c r="AF888" s="1338"/>
      <c r="AG888" s="1338"/>
      <c r="AH888" s="1339"/>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f>500*90</f>
        <v>45000</v>
      </c>
      <c r="AD889" s="1338"/>
      <c r="AE889" s="1338"/>
      <c r="AF889" s="1338"/>
      <c r="AG889" s="1338"/>
      <c r="AH889" s="1339"/>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0"/>
      <c r="AD890" s="1491"/>
      <c r="AE890" s="1491"/>
      <c r="AF890" s="1491"/>
      <c r="AG890" s="1491"/>
      <c r="AH890" s="1492"/>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f>5109+7433</f>
        <v>12542</v>
      </c>
      <c r="AD891" s="1338"/>
      <c r="AE891" s="1338"/>
      <c r="AF891" s="1338"/>
      <c r="AG891" s="1338"/>
      <c r="AH891" s="1339"/>
      <c r="AZ891" s="34"/>
      <c r="BA891" s="34"/>
      <c r="BB891" s="34"/>
      <c r="BC891" s="34"/>
    </row>
    <row r="892" spans="3:55" ht="12.9"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8"/>
      <c r="AD893" s="1338"/>
      <c r="AE893" s="1338"/>
      <c r="AF893" s="1338"/>
      <c r="AG893" s="1338"/>
      <c r="AH893" s="1339"/>
      <c r="AZ893" s="34"/>
      <c r="BA893" s="34"/>
      <c r="BB893" s="34"/>
      <c r="BC893" s="34"/>
    </row>
    <row r="894" spans="3:55" ht="12.9" customHeight="1">
      <c r="C894" s="1669" t="s">
        <v>2704</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1">
        <v>23538</v>
      </c>
      <c r="AD894" s="1641"/>
      <c r="AE894" s="1641"/>
      <c r="AF894" s="1641"/>
      <c r="AG894" s="1641"/>
      <c r="AH894" s="1641"/>
      <c r="AZ894" s="34"/>
      <c r="BA894" s="34"/>
      <c r="BB894" s="34"/>
      <c r="BC894" s="34"/>
    </row>
    <row r="895" spans="3:55" ht="12.9" customHeight="1">
      <c r="C895" s="1669" t="s">
        <v>955</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1"/>
      <c r="AD895" s="1641"/>
      <c r="AE895" s="1641"/>
      <c r="AF895" s="1641"/>
      <c r="AG895" s="1641"/>
      <c r="AH895" s="1641"/>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612</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8"/>
      <c r="BE899" s="1638"/>
      <c r="BF899" s="14"/>
    </row>
    <row r="900" spans="1:58" ht="12.9"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8"/>
      <c r="BE900" s="1638"/>
      <c r="BF900" s="14"/>
    </row>
    <row r="901" spans="1:58" ht="12.9"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7"/>
      <c r="BE901" s="1637"/>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7"/>
      <c r="BE902" s="1637"/>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8"/>
      <c r="BE910" s="1637"/>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4" t="s">
        <v>791</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 customHeight="1">
      <c r="B916" s="2"/>
      <c r="F916" s="1758" t="s">
        <v>817</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1" t="s">
        <v>390</v>
      </c>
      <c r="AC917" s="1431"/>
      <c r="AD917" s="1431"/>
      <c r="AE917" s="1431"/>
      <c r="AF917" s="109"/>
      <c r="AZ917" s="34"/>
      <c r="BA917" s="34"/>
      <c r="BB917" s="34"/>
      <c r="BC917" s="34"/>
    </row>
    <row r="918" spans="1:58" ht="12.9" customHeight="1">
      <c r="B918" s="2"/>
      <c r="F918" s="45" t="s">
        <v>757</v>
      </c>
      <c r="G918" s="48"/>
      <c r="H918" s="48"/>
      <c r="I918" s="48"/>
      <c r="J918" s="48"/>
      <c r="K918" s="48"/>
      <c r="L918" s="48"/>
      <c r="M918" s="48"/>
      <c r="N918" s="48"/>
      <c r="O918" s="48"/>
      <c r="P918" s="48"/>
      <c r="Q918" s="48"/>
      <c r="R918" s="48"/>
      <c r="S918" s="48"/>
      <c r="T918" s="49"/>
      <c r="U918" s="1631" t="s">
        <v>544</v>
      </c>
      <c r="V918" s="1427"/>
      <c r="W918" s="1427"/>
      <c r="X918" s="1427"/>
      <c r="Y918" s="1427"/>
      <c r="Z918" s="1428"/>
      <c r="AA918" s="1635">
        <f>AM554</f>
        <v>47076397</v>
      </c>
      <c r="AB918" s="1526"/>
      <c r="AC918" s="1526"/>
      <c r="AD918" s="1526"/>
      <c r="AE918" s="1526"/>
      <c r="AF918" s="1636"/>
      <c r="AZ918" s="34"/>
      <c r="BA918" s="34"/>
      <c r="BB918" s="34"/>
      <c r="BC918" s="34"/>
    </row>
    <row r="919" spans="1:58" ht="12.9" customHeight="1">
      <c r="B919" s="2"/>
      <c r="F919" s="66" t="s">
        <v>674</v>
      </c>
      <c r="G919" s="48"/>
      <c r="H919" s="48"/>
      <c r="I919" s="48"/>
      <c r="J919" s="48"/>
      <c r="K919" s="48"/>
      <c r="L919" s="48"/>
      <c r="M919" s="48"/>
      <c r="N919" s="48"/>
      <c r="O919" s="48"/>
      <c r="P919" s="48"/>
      <c r="Q919" s="48"/>
      <c r="R919" s="48"/>
      <c r="S919" s="48"/>
      <c r="T919" s="49"/>
      <c r="U919" s="1631" t="s">
        <v>544</v>
      </c>
      <c r="V919" s="1427"/>
      <c r="W919" s="1427"/>
      <c r="X919" s="1427"/>
      <c r="Y919" s="1427"/>
      <c r="Z919" s="1428"/>
      <c r="AA919" s="1635">
        <f>AM555</f>
        <v>13150752</v>
      </c>
      <c r="AB919" s="1526"/>
      <c r="AC919" s="1526"/>
      <c r="AD919" s="1526"/>
      <c r="AE919" s="1526"/>
      <c r="AF919" s="1636"/>
      <c r="AZ919" s="34"/>
      <c r="BA919" s="34"/>
      <c r="BB919" s="34"/>
      <c r="BC919" s="34"/>
    </row>
    <row r="920" spans="1:58" ht="12.9" customHeight="1">
      <c r="F920" s="45" t="s">
        <v>800</v>
      </c>
      <c r="G920" s="5"/>
      <c r="H920" s="5"/>
      <c r="I920" s="5"/>
      <c r="J920" s="5"/>
      <c r="K920" s="5"/>
      <c r="L920" s="5"/>
      <c r="M920" s="5"/>
      <c r="N920" s="5"/>
      <c r="O920" s="5"/>
      <c r="P920" s="5"/>
      <c r="Q920" s="5"/>
      <c r="R920" s="5"/>
      <c r="S920" s="5"/>
      <c r="T920" s="46"/>
      <c r="U920" s="1631" t="s">
        <v>590</v>
      </c>
      <c r="V920" s="1427"/>
      <c r="W920" s="1427"/>
      <c r="X920" s="1427"/>
      <c r="Y920" s="1427"/>
      <c r="Z920" s="1428"/>
      <c r="AA920" s="1635"/>
      <c r="AB920" s="1526"/>
      <c r="AC920" s="1526"/>
      <c r="AD920" s="1526"/>
      <c r="AE920" s="1526"/>
      <c r="AF920" s="1636"/>
      <c r="AZ920" s="34"/>
      <c r="BA920" s="34"/>
      <c r="BB920" s="34"/>
      <c r="BC920" s="34"/>
    </row>
    <row r="921" spans="1:58" ht="12.9" customHeight="1">
      <c r="F921" s="45" t="s">
        <v>677</v>
      </c>
      <c r="G921" s="5"/>
      <c r="H921" s="5"/>
      <c r="I921" s="5"/>
      <c r="J921" s="5"/>
      <c r="K921" s="5"/>
      <c r="L921" s="5"/>
      <c r="M921" s="5"/>
      <c r="N921" s="5"/>
      <c r="O921" s="5"/>
      <c r="P921" s="5"/>
      <c r="Q921" s="5"/>
      <c r="R921" s="5"/>
      <c r="S921" s="5"/>
      <c r="T921" s="46"/>
      <c r="U921" s="1631" t="s">
        <v>544</v>
      </c>
      <c r="V921" s="1427"/>
      <c r="W921" s="1427"/>
      <c r="X921" s="1427"/>
      <c r="Y921" s="1427"/>
      <c r="Z921" s="1428"/>
      <c r="AA921" s="1635">
        <f>AO628</f>
        <v>26780431</v>
      </c>
      <c r="AB921" s="1526"/>
      <c r="AC921" s="1526"/>
      <c r="AD921" s="1526"/>
      <c r="AE921" s="1526"/>
      <c r="AF921" s="1636"/>
      <c r="AZ921" s="34"/>
      <c r="BA921" s="34"/>
      <c r="BB921" s="34"/>
      <c r="BC921" s="34"/>
    </row>
    <row r="922" spans="1:58" ht="12.9" customHeight="1">
      <c r="F922" s="66" t="s">
        <v>785</v>
      </c>
      <c r="G922" s="5"/>
      <c r="H922" s="5"/>
      <c r="I922" s="5"/>
      <c r="J922" s="5"/>
      <c r="K922" s="5"/>
      <c r="L922" s="5"/>
      <c r="M922" s="5"/>
      <c r="N922" s="5"/>
      <c r="O922" s="5"/>
      <c r="P922" s="5"/>
      <c r="Q922" s="5"/>
      <c r="R922" s="5"/>
      <c r="S922" s="5"/>
      <c r="T922" s="46"/>
      <c r="U922" s="1631" t="s">
        <v>590</v>
      </c>
      <c r="V922" s="1427"/>
      <c r="W922" s="1427"/>
      <c r="X922" s="1427"/>
      <c r="Y922" s="1427"/>
      <c r="Z922" s="1428"/>
      <c r="AA922" s="1635"/>
      <c r="AB922" s="1526"/>
      <c r="AC922" s="1526"/>
      <c r="AD922" s="1526"/>
      <c r="AE922" s="1526"/>
      <c r="AF922" s="1636"/>
      <c r="AZ922" s="34"/>
      <c r="BA922" s="34"/>
      <c r="BB922" s="34"/>
      <c r="BC922" s="34"/>
    </row>
    <row r="923" spans="1:58" ht="12.9" customHeight="1">
      <c r="F923" s="66" t="s">
        <v>786</v>
      </c>
      <c r="G923" s="5"/>
      <c r="H923" s="5"/>
      <c r="I923" s="5"/>
      <c r="J923" s="5"/>
      <c r="K923" s="5"/>
      <c r="L923" s="5"/>
      <c r="M923" s="5"/>
      <c r="N923" s="5"/>
      <c r="O923" s="5"/>
      <c r="P923" s="5"/>
      <c r="Q923" s="5"/>
      <c r="R923" s="5"/>
      <c r="S923" s="5"/>
      <c r="T923" s="46"/>
      <c r="U923" s="1631" t="s">
        <v>590</v>
      </c>
      <c r="V923" s="1427"/>
      <c r="W923" s="1427"/>
      <c r="X923" s="1427"/>
      <c r="Y923" s="1427"/>
      <c r="Z923" s="1428"/>
      <c r="AA923" s="1635"/>
      <c r="AB923" s="1526"/>
      <c r="AC923" s="1526"/>
      <c r="AD923" s="1526"/>
      <c r="AE923" s="1526"/>
      <c r="AF923" s="1636"/>
      <c r="AZ923" s="34"/>
      <c r="BA923" s="34"/>
      <c r="BB923" s="34"/>
      <c r="BC923" s="34"/>
    </row>
    <row r="924" spans="1:58" ht="12.9" customHeight="1">
      <c r="F924" s="66" t="s">
        <v>787</v>
      </c>
      <c r="G924" s="5"/>
      <c r="H924" s="5"/>
      <c r="I924" s="5"/>
      <c r="J924" s="5"/>
      <c r="K924" s="5"/>
      <c r="L924" s="5"/>
      <c r="M924" s="5"/>
      <c r="N924" s="5"/>
      <c r="O924" s="5"/>
      <c r="P924" s="5"/>
      <c r="Q924" s="5"/>
      <c r="R924" s="5"/>
      <c r="S924" s="5"/>
      <c r="T924" s="46"/>
      <c r="U924" s="1631" t="s">
        <v>590</v>
      </c>
      <c r="V924" s="1427"/>
      <c r="W924" s="1427"/>
      <c r="X924" s="1427"/>
      <c r="Y924" s="1427"/>
      <c r="Z924" s="1428"/>
      <c r="AA924" s="1635"/>
      <c r="AB924" s="1526"/>
      <c r="AC924" s="1526"/>
      <c r="AD924" s="1526"/>
      <c r="AE924" s="1526"/>
      <c r="AF924" s="1636"/>
      <c r="AZ924" s="34"/>
      <c r="BA924" s="34"/>
      <c r="BB924" s="34"/>
      <c r="BC924" s="34"/>
    </row>
    <row r="925" spans="1:58" ht="12.9" customHeight="1">
      <c r="F925" s="45" t="s">
        <v>676</v>
      </c>
      <c r="G925" s="5"/>
      <c r="H925" s="5"/>
      <c r="I925" s="5"/>
      <c r="J925" s="5"/>
      <c r="K925" s="5"/>
      <c r="L925" s="5"/>
      <c r="M925" s="5"/>
      <c r="N925" s="5"/>
      <c r="O925" s="5"/>
      <c r="P925" s="5"/>
      <c r="Q925" s="5"/>
      <c r="R925" s="5"/>
      <c r="S925" s="5"/>
      <c r="T925" s="46"/>
      <c r="U925" s="1631" t="s">
        <v>590</v>
      </c>
      <c r="V925" s="1427"/>
      <c r="W925" s="1427"/>
      <c r="X925" s="1427"/>
      <c r="Y925" s="1427"/>
      <c r="Z925" s="1428"/>
      <c r="AA925" s="1635"/>
      <c r="AB925" s="1526"/>
      <c r="AC925" s="1526"/>
      <c r="AD925" s="1526"/>
      <c r="AE925" s="1526"/>
      <c r="AF925" s="1636"/>
      <c r="AZ925" s="34"/>
      <c r="BA925" s="34"/>
      <c r="BB925" s="34"/>
      <c r="BC925" s="34"/>
    </row>
    <row r="926" spans="1:58" ht="12.9" customHeight="1">
      <c r="F926" s="1628" t="s">
        <v>2192</v>
      </c>
      <c r="G926" s="1629"/>
      <c r="H926" s="1629"/>
      <c r="I926" s="1629"/>
      <c r="J926" s="1629"/>
      <c r="K926" s="1629"/>
      <c r="L926" s="1629"/>
      <c r="M926" s="1629"/>
      <c r="N926" s="1629"/>
      <c r="O926" s="1629"/>
      <c r="P926" s="1629"/>
      <c r="Q926" s="1629"/>
      <c r="R926" s="1629"/>
      <c r="S926" s="1629"/>
      <c r="T926" s="1630"/>
      <c r="U926" s="1631" t="s">
        <v>590</v>
      </c>
      <c r="V926" s="1427"/>
      <c r="W926" s="1427"/>
      <c r="X926" s="1427"/>
      <c r="Y926" s="1427"/>
      <c r="Z926" s="1428"/>
      <c r="AA926" s="1635"/>
      <c r="AB926" s="1526"/>
      <c r="AC926" s="1526"/>
      <c r="AD926" s="1526"/>
      <c r="AE926" s="1526"/>
      <c r="AF926" s="1636"/>
      <c r="AZ926" s="34"/>
      <c r="BA926" s="34"/>
      <c r="BB926" s="34"/>
      <c r="BC926" s="34"/>
    </row>
    <row r="927" spans="1:58" ht="12.9" customHeight="1">
      <c r="F927" s="1628" t="s">
        <v>678</v>
      </c>
      <c r="G927" s="1629"/>
      <c r="H927" s="1629"/>
      <c r="I927" s="1629"/>
      <c r="J927" s="1629"/>
      <c r="K927" s="1629"/>
      <c r="L927" s="1629"/>
      <c r="M927" s="1629"/>
      <c r="N927" s="1629"/>
      <c r="O927" s="1629"/>
      <c r="P927" s="1629"/>
      <c r="Q927" s="1629"/>
      <c r="R927" s="1629"/>
      <c r="S927" s="1629"/>
      <c r="T927" s="1630"/>
      <c r="U927" s="1631" t="s">
        <v>590</v>
      </c>
      <c r="V927" s="1427"/>
      <c r="W927" s="1427"/>
      <c r="X927" s="1427"/>
      <c r="Y927" s="1427"/>
      <c r="Z927" s="1428"/>
      <c r="AA927" s="1635"/>
      <c r="AB927" s="1526"/>
      <c r="AC927" s="1526"/>
      <c r="AD927" s="1526"/>
      <c r="AE927" s="1526"/>
      <c r="AF927" s="1636"/>
      <c r="AU927" s="2"/>
      <c r="AZ927" s="34"/>
      <c r="BA927" s="34"/>
      <c r="BB927" s="34"/>
      <c r="BC927" s="34"/>
    </row>
    <row r="928" spans="1:58" ht="12.9" customHeight="1">
      <c r="F928" s="1628" t="s">
        <v>2193</v>
      </c>
      <c r="G928" s="1629"/>
      <c r="H928" s="1629"/>
      <c r="I928" s="1629"/>
      <c r="J928" s="1629"/>
      <c r="K928" s="1629"/>
      <c r="L928" s="1629"/>
      <c r="M928" s="1629"/>
      <c r="N928" s="1629"/>
      <c r="O928" s="1629"/>
      <c r="P928" s="1629"/>
      <c r="Q928" s="1629"/>
      <c r="R928" s="1629"/>
      <c r="S928" s="1629"/>
      <c r="T928" s="1630"/>
      <c r="U928" s="1631" t="s">
        <v>590</v>
      </c>
      <c r="V928" s="1427"/>
      <c r="W928" s="1427"/>
      <c r="X928" s="1427"/>
      <c r="Y928" s="1427"/>
      <c r="Z928" s="1428"/>
      <c r="AA928" s="1635"/>
      <c r="AB928" s="1526"/>
      <c r="AC928" s="1526"/>
      <c r="AD928" s="1526"/>
      <c r="AE928" s="1526"/>
      <c r="AF928" s="1636"/>
      <c r="AU928" s="2"/>
      <c r="AZ928" s="34"/>
      <c r="BA928" s="34"/>
      <c r="BB928" s="34"/>
      <c r="BC928" s="34"/>
    </row>
    <row r="929" spans="6:55" ht="12.9" customHeight="1">
      <c r="F929" s="1628" t="s">
        <v>2194</v>
      </c>
      <c r="G929" s="1629"/>
      <c r="H929" s="1629"/>
      <c r="I929" s="1629"/>
      <c r="J929" s="1629"/>
      <c r="K929" s="1629"/>
      <c r="L929" s="1629"/>
      <c r="M929" s="1629"/>
      <c r="N929" s="1629"/>
      <c r="O929" s="1629"/>
      <c r="P929" s="1629"/>
      <c r="Q929" s="1629"/>
      <c r="R929" s="1629"/>
      <c r="S929" s="1629"/>
      <c r="T929" s="1630"/>
      <c r="U929" s="1631" t="s">
        <v>590</v>
      </c>
      <c r="V929" s="1427"/>
      <c r="W929" s="1427"/>
      <c r="X929" s="1427"/>
      <c r="Y929" s="1427"/>
      <c r="Z929" s="1428"/>
      <c r="AA929" s="1635"/>
      <c r="AB929" s="1526"/>
      <c r="AC929" s="1526"/>
      <c r="AD929" s="1526"/>
      <c r="AE929" s="1526"/>
      <c r="AF929" s="1636"/>
      <c r="AU929" s="2"/>
      <c r="AZ929" s="34"/>
      <c r="BA929" s="34"/>
      <c r="BB929" s="34"/>
      <c r="BC929" s="34"/>
    </row>
    <row r="930" spans="6:55" ht="12.9" customHeight="1">
      <c r="F930" s="1628" t="s">
        <v>2195</v>
      </c>
      <c r="G930" s="1629"/>
      <c r="H930" s="1629"/>
      <c r="I930" s="1629"/>
      <c r="J930" s="1629"/>
      <c r="K930" s="1629"/>
      <c r="L930" s="1629"/>
      <c r="M930" s="1629"/>
      <c r="N930" s="1629"/>
      <c r="O930" s="1629"/>
      <c r="P930" s="1629"/>
      <c r="Q930" s="1629"/>
      <c r="R930" s="1629"/>
      <c r="S930" s="1629"/>
      <c r="T930" s="1630"/>
      <c r="U930" s="1631" t="s">
        <v>544</v>
      </c>
      <c r="V930" s="1427"/>
      <c r="W930" s="1427"/>
      <c r="X930" s="1427"/>
      <c r="Y930" s="1427"/>
      <c r="Z930" s="1428"/>
      <c r="AA930" s="1635">
        <v>1739273</v>
      </c>
      <c r="AB930" s="1526"/>
      <c r="AC930" s="1526"/>
      <c r="AD930" s="1526"/>
      <c r="AE930" s="1526"/>
      <c r="AF930" s="1636"/>
      <c r="AU930" s="2"/>
      <c r="AZ930" s="34"/>
      <c r="BA930" s="34"/>
      <c r="BB930" s="34"/>
      <c r="BC930" s="34"/>
    </row>
    <row r="931" spans="6:55" ht="12.9" customHeight="1">
      <c r="F931" s="1628" t="s">
        <v>2196</v>
      </c>
      <c r="G931" s="1629"/>
      <c r="H931" s="1629"/>
      <c r="I931" s="1629"/>
      <c r="J931" s="1629"/>
      <c r="K931" s="1629"/>
      <c r="L931" s="1629"/>
      <c r="M931" s="1629"/>
      <c r="N931" s="1629"/>
      <c r="O931" s="1629"/>
      <c r="P931" s="1629"/>
      <c r="Q931" s="1629"/>
      <c r="R931" s="1629"/>
      <c r="S931" s="1629"/>
      <c r="T931" s="1630"/>
      <c r="U931" s="1631" t="s">
        <v>590</v>
      </c>
      <c r="V931" s="1427"/>
      <c r="W931" s="1427"/>
      <c r="X931" s="1427"/>
      <c r="Y931" s="1427"/>
      <c r="Z931" s="1428"/>
      <c r="AA931" s="1635"/>
      <c r="AB931" s="1526"/>
      <c r="AC931" s="1526"/>
      <c r="AD931" s="1526"/>
      <c r="AE931" s="1526"/>
      <c r="AF931" s="1636"/>
      <c r="AU931" s="2"/>
      <c r="AZ931" s="34"/>
      <c r="BA931" s="34"/>
      <c r="BB931" s="34"/>
      <c r="BC931" s="34"/>
    </row>
    <row r="932" spans="6:55" ht="12.9" customHeight="1">
      <c r="F932" s="1628" t="s">
        <v>2197</v>
      </c>
      <c r="G932" s="1629"/>
      <c r="H932" s="1629"/>
      <c r="I932" s="1629"/>
      <c r="J932" s="1629"/>
      <c r="K932" s="1629"/>
      <c r="L932" s="1629"/>
      <c r="M932" s="1629"/>
      <c r="N932" s="1629"/>
      <c r="O932" s="1629"/>
      <c r="P932" s="1629"/>
      <c r="Q932" s="1629"/>
      <c r="R932" s="1629"/>
      <c r="S932" s="1629"/>
      <c r="T932" s="1630"/>
      <c r="U932" s="1631" t="s">
        <v>590</v>
      </c>
      <c r="V932" s="1427"/>
      <c r="W932" s="1427"/>
      <c r="X932" s="1427"/>
      <c r="Y932" s="1427"/>
      <c r="Z932" s="1428"/>
      <c r="AA932" s="1635"/>
      <c r="AB932" s="1526"/>
      <c r="AC932" s="1526"/>
      <c r="AD932" s="1526"/>
      <c r="AE932" s="1526"/>
      <c r="AF932" s="1636"/>
      <c r="AZ932" s="30"/>
      <c r="BA932" s="30"/>
    </row>
    <row r="933" spans="6:55" ht="12.9" customHeight="1">
      <c r="F933" s="178" t="s">
        <v>675</v>
      </c>
      <c r="G933" s="5"/>
      <c r="H933" s="5"/>
      <c r="I933" s="5"/>
      <c r="J933" s="5"/>
      <c r="K933" s="5"/>
      <c r="L933" s="5"/>
      <c r="M933" s="5"/>
      <c r="N933" s="5"/>
      <c r="O933" s="5"/>
      <c r="P933" s="5"/>
      <c r="Q933" s="5"/>
      <c r="R933" s="5"/>
      <c r="S933" s="5"/>
      <c r="T933" s="46"/>
      <c r="U933" s="1631" t="s">
        <v>590</v>
      </c>
      <c r="V933" s="1427"/>
      <c r="W933" s="1427"/>
      <c r="X933" s="1427"/>
      <c r="Y933" s="1427"/>
      <c r="Z933" s="1428"/>
      <c r="AA933" s="1635"/>
      <c r="AB933" s="1526"/>
      <c r="AC933" s="1526"/>
      <c r="AD933" s="1526"/>
      <c r="AE933" s="1526"/>
      <c r="AF933" s="1636"/>
    </row>
    <row r="934" spans="6:55" ht="12.9" customHeight="1">
      <c r="F934" s="121" t="s">
        <v>1276</v>
      </c>
      <c r="G934" s="5"/>
      <c r="H934" s="5"/>
      <c r="I934" s="5"/>
      <c r="J934" s="5"/>
      <c r="K934" s="5"/>
      <c r="L934" s="5"/>
      <c r="M934" s="5"/>
      <c r="N934" s="5"/>
      <c r="O934" s="5"/>
      <c r="P934" s="5"/>
      <c r="Q934" s="5"/>
      <c r="R934" s="5"/>
      <c r="S934" s="5"/>
      <c r="T934" s="46"/>
      <c r="U934" s="1631" t="s">
        <v>590</v>
      </c>
      <c r="V934" s="1427"/>
      <c r="W934" s="1427"/>
      <c r="X934" s="1427"/>
      <c r="Y934" s="1427"/>
      <c r="Z934" s="1428"/>
      <c r="AA934" s="1635"/>
      <c r="AB934" s="1526"/>
      <c r="AC934" s="1526"/>
      <c r="AD934" s="1526"/>
      <c r="AE934" s="1526"/>
      <c r="AF934" s="1636"/>
      <c r="AZ934" s="30"/>
      <c r="BA934" s="14"/>
    </row>
    <row r="935" spans="6:55" ht="12.9" customHeight="1">
      <c r="F935" s="66" t="s">
        <v>801</v>
      </c>
      <c r="G935" s="5"/>
      <c r="H935" s="5"/>
      <c r="I935" s="5"/>
      <c r="J935" s="5"/>
      <c r="K935" s="5"/>
      <c r="L935" s="5"/>
      <c r="M935" s="5"/>
      <c r="N935" s="5"/>
      <c r="O935" s="5"/>
      <c r="P935" s="5"/>
      <c r="Q935" s="5"/>
      <c r="R935" s="5"/>
      <c r="S935" s="5"/>
      <c r="T935" s="46"/>
      <c r="U935" s="1631" t="s">
        <v>590</v>
      </c>
      <c r="V935" s="1427"/>
      <c r="W935" s="1427"/>
      <c r="X935" s="1427"/>
      <c r="Y935" s="1427"/>
      <c r="Z935" s="1428"/>
      <c r="AA935" s="1635"/>
      <c r="AB935" s="1526"/>
      <c r="AC935" s="1526"/>
      <c r="AD935" s="1526"/>
      <c r="AE935" s="1526"/>
      <c r="AF935" s="1636"/>
      <c r="AZ935" s="30"/>
      <c r="BA935" s="14"/>
    </row>
    <row r="936" spans="6:55" ht="12.9" customHeight="1">
      <c r="F936" s="1632" t="s">
        <v>2201</v>
      </c>
      <c r="G936" s="1633"/>
      <c r="H936" s="1633"/>
      <c r="I936" s="1633"/>
      <c r="J936" s="1633"/>
      <c r="K936" s="1633"/>
      <c r="L936" s="1633"/>
      <c r="M936" s="1633"/>
      <c r="N936" s="1633"/>
      <c r="O936" s="1633"/>
      <c r="P936" s="1633"/>
      <c r="Q936" s="1633"/>
      <c r="R936" s="1633"/>
      <c r="S936" s="1633"/>
      <c r="T936" s="1634"/>
      <c r="U936" s="1631" t="s">
        <v>590</v>
      </c>
      <c r="V936" s="1427"/>
      <c r="W936" s="1427"/>
      <c r="X936" s="1427"/>
      <c r="Y936" s="1427"/>
      <c r="Z936" s="1428"/>
      <c r="AA936" s="1635"/>
      <c r="AB936" s="1526"/>
      <c r="AC936" s="1526"/>
      <c r="AD936" s="1526"/>
      <c r="AE936" s="1526"/>
      <c r="AF936" s="1636"/>
      <c r="AZ936" s="30"/>
      <c r="BA936" s="14"/>
    </row>
    <row r="937" spans="6:55" ht="12.9" customHeight="1">
      <c r="F937" s="1632" t="s">
        <v>2202</v>
      </c>
      <c r="G937" s="1633"/>
      <c r="H937" s="1633"/>
      <c r="I937" s="1633"/>
      <c r="J937" s="1633"/>
      <c r="K937" s="1633"/>
      <c r="L937" s="1633"/>
      <c r="M937" s="1633"/>
      <c r="N937" s="1633"/>
      <c r="O937" s="1633"/>
      <c r="P937" s="1633"/>
      <c r="Q937" s="1633"/>
      <c r="R937" s="1633"/>
      <c r="S937" s="1633"/>
      <c r="T937" s="1634"/>
      <c r="U937" s="1631" t="s">
        <v>590</v>
      </c>
      <c r="V937" s="1427"/>
      <c r="W937" s="1427"/>
      <c r="X937" s="1427"/>
      <c r="Y937" s="1427"/>
      <c r="Z937" s="1428"/>
      <c r="AA937" s="1635"/>
      <c r="AB937" s="1526"/>
      <c r="AC937" s="1526"/>
      <c r="AD937" s="1526"/>
      <c r="AE937" s="1526"/>
      <c r="AF937" s="1636"/>
      <c r="AZ937" s="30"/>
      <c r="BA937" s="30"/>
    </row>
    <row r="938" spans="6:55" ht="12.9" customHeight="1">
      <c r="F938" s="1628" t="s">
        <v>2198</v>
      </c>
      <c r="G938" s="1629"/>
      <c r="H938" s="1629"/>
      <c r="I938" s="1629"/>
      <c r="J938" s="1629"/>
      <c r="K938" s="1629"/>
      <c r="L938" s="1629"/>
      <c r="M938" s="1629"/>
      <c r="N938" s="1629"/>
      <c r="O938" s="1629"/>
      <c r="P938" s="1629"/>
      <c r="Q938" s="1629"/>
      <c r="R938" s="1629"/>
      <c r="S938" s="1629"/>
      <c r="T938" s="1630"/>
      <c r="U938" s="1631" t="s">
        <v>590</v>
      </c>
      <c r="V938" s="1427"/>
      <c r="W938" s="1427"/>
      <c r="X938" s="1427"/>
      <c r="Y938" s="1427"/>
      <c r="Z938" s="1428"/>
      <c r="AA938" s="1635"/>
      <c r="AB938" s="1526"/>
      <c r="AC938" s="1526"/>
      <c r="AD938" s="1526"/>
      <c r="AE938" s="1526"/>
      <c r="AF938" s="1636"/>
      <c r="AZ938" s="30"/>
      <c r="BA938" s="30"/>
    </row>
    <row r="939" spans="6:55" ht="12.9" customHeight="1">
      <c r="F939" s="1628" t="s">
        <v>2199</v>
      </c>
      <c r="G939" s="1629"/>
      <c r="H939" s="1629"/>
      <c r="I939" s="1629"/>
      <c r="J939" s="1629"/>
      <c r="K939" s="1629"/>
      <c r="L939" s="1629"/>
      <c r="M939" s="1629"/>
      <c r="N939" s="1629"/>
      <c r="O939" s="1629"/>
      <c r="P939" s="1629"/>
      <c r="Q939" s="1629"/>
      <c r="R939" s="1629"/>
      <c r="S939" s="1629"/>
      <c r="T939" s="1630"/>
      <c r="U939" s="1631" t="s">
        <v>590</v>
      </c>
      <c r="V939" s="1427"/>
      <c r="W939" s="1427"/>
      <c r="X939" s="1427"/>
      <c r="Y939" s="1427"/>
      <c r="Z939" s="1428"/>
      <c r="AA939" s="1635"/>
      <c r="AB939" s="1526"/>
      <c r="AC939" s="1526"/>
      <c r="AD939" s="1526"/>
      <c r="AE939" s="1526"/>
      <c r="AF939" s="1636"/>
      <c r="AZ939" s="30"/>
      <c r="BA939" s="30"/>
    </row>
    <row r="940" spans="6:55" ht="12.9" customHeight="1">
      <c r="F940" s="1628" t="s">
        <v>2200</v>
      </c>
      <c r="G940" s="1629"/>
      <c r="H940" s="1629"/>
      <c r="I940" s="1629"/>
      <c r="J940" s="1629"/>
      <c r="K940" s="1629"/>
      <c r="L940" s="1629"/>
      <c r="M940" s="1629"/>
      <c r="N940" s="1629"/>
      <c r="O940" s="1629"/>
      <c r="P940" s="1629"/>
      <c r="Q940" s="1629"/>
      <c r="R940" s="1629"/>
      <c r="S940" s="1629"/>
      <c r="T940" s="1630"/>
      <c r="U940" s="1631" t="s">
        <v>590</v>
      </c>
      <c r="V940" s="1427"/>
      <c r="W940" s="1427"/>
      <c r="X940" s="1427"/>
      <c r="Y940" s="1427"/>
      <c r="Z940" s="1428"/>
      <c r="AA940" s="1635"/>
      <c r="AB940" s="1526"/>
      <c r="AC940" s="1526"/>
      <c r="AD940" s="1526"/>
      <c r="AE940" s="1526"/>
      <c r="AF940" s="1636"/>
      <c r="AZ940" s="34"/>
      <c r="BA940" s="34"/>
      <c r="BB940" s="14"/>
      <c r="BC940" s="14"/>
    </row>
    <row r="941" spans="6:55" ht="12.9" customHeight="1">
      <c r="F941" s="121" t="s">
        <v>1260</v>
      </c>
      <c r="G941" s="5"/>
      <c r="H941" s="5"/>
      <c r="I941" s="5"/>
      <c r="J941" s="5"/>
      <c r="K941" s="5"/>
      <c r="L941" s="5"/>
      <c r="M941" s="5"/>
      <c r="N941" s="5"/>
      <c r="O941" s="5"/>
      <c r="P941" s="5"/>
      <c r="Q941" s="5"/>
      <c r="R941" s="5"/>
      <c r="S941" s="5"/>
      <c r="T941" s="46"/>
      <c r="U941" s="1631" t="s">
        <v>590</v>
      </c>
      <c r="V941" s="1427"/>
      <c r="W941" s="1427"/>
      <c r="X941" s="1427"/>
      <c r="Y941" s="1427"/>
      <c r="Z941" s="1428"/>
      <c r="AA941" s="1635"/>
      <c r="AB941" s="1526"/>
      <c r="AC941" s="1526"/>
      <c r="AD941" s="1526"/>
      <c r="AE941" s="1526"/>
      <c r="AF941" s="1636"/>
      <c r="AZ941" s="34"/>
      <c r="BA941" s="34"/>
      <c r="BB941" s="14"/>
      <c r="BC941" s="14"/>
    </row>
    <row r="942" spans="6:55" ht="12.9" customHeight="1">
      <c r="F942" s="1632" t="s">
        <v>2203</v>
      </c>
      <c r="G942" s="1633"/>
      <c r="H942" s="1633"/>
      <c r="I942" s="1633"/>
      <c r="J942" s="1633"/>
      <c r="K942" s="1633"/>
      <c r="L942" s="1633"/>
      <c r="M942" s="1633"/>
      <c r="N942" s="1633"/>
      <c r="O942" s="1633"/>
      <c r="P942" s="1633"/>
      <c r="Q942" s="1633"/>
      <c r="R942" s="1633"/>
      <c r="S942" s="1633"/>
      <c r="T942" s="1634"/>
      <c r="U942" s="1631" t="s">
        <v>590</v>
      </c>
      <c r="V942" s="1427"/>
      <c r="W942" s="1427"/>
      <c r="X942" s="1427"/>
      <c r="Y942" s="1427"/>
      <c r="Z942" s="1428"/>
      <c r="AA942" s="1635"/>
      <c r="AB942" s="1526"/>
      <c r="AC942" s="1526"/>
      <c r="AD942" s="1526"/>
      <c r="AE942" s="1526"/>
      <c r="AF942" s="1636"/>
      <c r="AZ942" s="34"/>
      <c r="BA942" s="34"/>
      <c r="BB942" s="34"/>
      <c r="BC942" s="34"/>
    </row>
    <row r="943" spans="6:55" ht="12.9" customHeight="1">
      <c r="F943" s="121" t="s">
        <v>1261</v>
      </c>
      <c r="G943" s="5"/>
      <c r="H943" s="5"/>
      <c r="I943" s="5"/>
      <c r="J943" s="5"/>
      <c r="K943" s="5"/>
      <c r="L943" s="5"/>
      <c r="M943" s="5"/>
      <c r="N943" s="5"/>
      <c r="O943" s="5"/>
      <c r="P943" s="5"/>
      <c r="Q943" s="5"/>
      <c r="R943" s="5"/>
      <c r="S943" s="5"/>
      <c r="T943" s="46"/>
      <c r="U943" s="1631" t="s">
        <v>590</v>
      </c>
      <c r="V943" s="1427"/>
      <c r="W943" s="1427"/>
      <c r="X943" s="1427"/>
      <c r="Y943" s="1427"/>
      <c r="Z943" s="1428"/>
      <c r="AA943" s="1635"/>
      <c r="AB943" s="1526"/>
      <c r="AC943" s="1526"/>
      <c r="AD943" s="1526"/>
      <c r="AE943" s="1526"/>
      <c r="AF943" s="1636"/>
      <c r="AZ943" s="34"/>
      <c r="BA943" s="34"/>
      <c r="BB943" s="34"/>
      <c r="BC943" s="34"/>
    </row>
    <row r="944" spans="6:55" ht="12.9" customHeight="1">
      <c r="F944" s="1632" t="s">
        <v>2204</v>
      </c>
      <c r="G944" s="1633"/>
      <c r="H944" s="1633"/>
      <c r="I944" s="1633"/>
      <c r="J944" s="1633"/>
      <c r="K944" s="1633"/>
      <c r="L944" s="1633"/>
      <c r="M944" s="1633"/>
      <c r="N944" s="1633"/>
      <c r="O944" s="1633"/>
      <c r="P944" s="1633"/>
      <c r="Q944" s="1633"/>
      <c r="R944" s="1633"/>
      <c r="S944" s="1633"/>
      <c r="T944" s="1634"/>
      <c r="U944" s="1631" t="s">
        <v>590</v>
      </c>
      <c r="V944" s="1427"/>
      <c r="W944" s="1427"/>
      <c r="X944" s="1427"/>
      <c r="Y944" s="1427"/>
      <c r="Z944" s="1428"/>
      <c r="AA944" s="1635"/>
      <c r="AB944" s="1526"/>
      <c r="AC944" s="1526"/>
      <c r="AD944" s="1526"/>
      <c r="AE944" s="1526"/>
      <c r="AF944" s="1636"/>
      <c r="AZ944" s="34"/>
      <c r="BA944" s="34"/>
      <c r="BB944" s="34"/>
      <c r="BC944" s="34"/>
    </row>
    <row r="945" spans="1:55" ht="12.9" customHeight="1">
      <c r="F945" s="45" t="s">
        <v>805</v>
      </c>
      <c r="G945" s="5"/>
      <c r="H945" s="5"/>
      <c r="I945" s="5"/>
      <c r="J945" s="5"/>
      <c r="K945" s="5"/>
      <c r="L945" s="5"/>
      <c r="M945" s="5"/>
      <c r="N945" s="5"/>
      <c r="O945" s="5"/>
      <c r="P945" s="1631" t="s">
        <v>668</v>
      </c>
      <c r="Q945" s="1427"/>
      <c r="R945" s="1427"/>
      <c r="S945" s="1427"/>
      <c r="T945" s="1428"/>
      <c r="U945" s="1631" t="s">
        <v>590</v>
      </c>
      <c r="V945" s="1427"/>
      <c r="W945" s="1427"/>
      <c r="X945" s="1427"/>
      <c r="Y945" s="1427"/>
      <c r="Z945" s="1428"/>
      <c r="AA945" s="1635"/>
      <c r="AB945" s="1526"/>
      <c r="AC945" s="1526"/>
      <c r="AD945" s="1526"/>
      <c r="AE945" s="1526"/>
      <c r="AF945" s="1636"/>
      <c r="AZ945" s="34"/>
      <c r="BA945" s="34"/>
      <c r="BB945" s="34"/>
      <c r="BC945" s="34"/>
    </row>
    <row r="946" spans="1:55" ht="12.9" customHeight="1">
      <c r="F946" s="1628" t="s">
        <v>2191</v>
      </c>
      <c r="G946" s="1629"/>
      <c r="H946" s="1630"/>
      <c r="I946" s="1645" t="s">
        <v>333</v>
      </c>
      <c r="J946" s="1646"/>
      <c r="K946" s="1646"/>
      <c r="L946" s="1646"/>
      <c r="M946" s="1646"/>
      <c r="N946" s="1646"/>
      <c r="O946" s="1646"/>
      <c r="P946" s="1646"/>
      <c r="Q946" s="1646"/>
      <c r="R946" s="1646"/>
      <c r="S946" s="1646"/>
      <c r="T946" s="1647"/>
      <c r="U946" s="1631" t="s">
        <v>590</v>
      </c>
      <c r="V946" s="1427"/>
      <c r="W946" s="1427"/>
      <c r="X946" s="1427"/>
      <c r="Y946" s="1427"/>
      <c r="Z946" s="1428"/>
      <c r="AA946" s="1635"/>
      <c r="AB946" s="1526"/>
      <c r="AC946" s="1526"/>
      <c r="AD946" s="1526"/>
      <c r="AE946" s="1526"/>
      <c r="AF946" s="1636"/>
      <c r="AZ946" s="34"/>
      <c r="BA946" s="34"/>
      <c r="BB946" s="34"/>
      <c r="BC946" s="34"/>
    </row>
    <row r="947" spans="1:55" ht="12.9" customHeight="1">
      <c r="F947" s="45" t="s">
        <v>86</v>
      </c>
      <c r="G947" s="48"/>
      <c r="H947" s="48"/>
      <c r="I947" s="1645" t="s">
        <v>333</v>
      </c>
      <c r="J947" s="1646"/>
      <c r="K947" s="1646"/>
      <c r="L947" s="1646"/>
      <c r="M947" s="1646"/>
      <c r="N947" s="1646"/>
      <c r="O947" s="1646"/>
      <c r="P947" s="1646"/>
      <c r="Q947" s="1646"/>
      <c r="R947" s="1646"/>
      <c r="S947" s="1646"/>
      <c r="T947" s="1647"/>
      <c r="U947" s="1631" t="s">
        <v>590</v>
      </c>
      <c r="V947" s="1427"/>
      <c r="W947" s="1427"/>
      <c r="X947" s="1427"/>
      <c r="Y947" s="1427"/>
      <c r="Z947" s="1428"/>
      <c r="AA947" s="1635"/>
      <c r="AB947" s="1526"/>
      <c r="AC947" s="1526"/>
      <c r="AD947" s="1526"/>
      <c r="AE947" s="1526"/>
      <c r="AF947" s="1636"/>
      <c r="AZ947" s="34"/>
      <c r="BA947" s="34"/>
      <c r="BB947" s="34"/>
      <c r="BC947" s="34"/>
    </row>
    <row r="948" spans="1:55" ht="12.9" customHeight="1">
      <c r="F948" s="45" t="s">
        <v>10</v>
      </c>
      <c r="G948" s="48"/>
      <c r="H948" s="48"/>
      <c r="I948" s="1701" t="s">
        <v>333</v>
      </c>
      <c r="J948" s="1702"/>
      <c r="K948" s="1702"/>
      <c r="L948" s="1702"/>
      <c r="M948" s="1702"/>
      <c r="N948" s="1702"/>
      <c r="O948" s="1702"/>
      <c r="P948" s="1702"/>
      <c r="Q948" s="1702"/>
      <c r="R948" s="1702"/>
      <c r="S948" s="1702"/>
      <c r="T948" s="1703"/>
      <c r="U948" s="1631" t="s">
        <v>590</v>
      </c>
      <c r="V948" s="1427"/>
      <c r="W948" s="1427"/>
      <c r="X948" s="1427"/>
      <c r="Y948" s="1427"/>
      <c r="Z948" s="1428"/>
      <c r="AA948" s="1635"/>
      <c r="AB948" s="1526"/>
      <c r="AC948" s="1526"/>
      <c r="AD948" s="1526"/>
      <c r="AE948" s="1526"/>
      <c r="AF948" s="1636"/>
      <c r="AV948" s="2"/>
      <c r="AW948" s="2"/>
      <c r="AX948" s="2"/>
      <c r="AY948" s="2"/>
      <c r="AZ948" s="34"/>
      <c r="BA948" s="34"/>
      <c r="BB948" s="34"/>
      <c r="BC948" s="34"/>
    </row>
    <row r="949" spans="1:55" ht="12.9" customHeight="1">
      <c r="F949" s="47" t="s">
        <v>169</v>
      </c>
      <c r="G949" s="48"/>
      <c r="H949" s="48"/>
      <c r="I949" s="1701" t="s">
        <v>333</v>
      </c>
      <c r="J949" s="1702"/>
      <c r="K949" s="1702"/>
      <c r="L949" s="1702"/>
      <c r="M949" s="1702"/>
      <c r="N949" s="1702"/>
      <c r="O949" s="1702"/>
      <c r="P949" s="1702"/>
      <c r="Q949" s="1702"/>
      <c r="R949" s="1702"/>
      <c r="S949" s="1702"/>
      <c r="T949" s="1703"/>
      <c r="U949" s="1631" t="s">
        <v>590</v>
      </c>
      <c r="V949" s="1427"/>
      <c r="W949" s="1427"/>
      <c r="X949" s="1427"/>
      <c r="Y949" s="1427"/>
      <c r="Z949" s="1428"/>
      <c r="AA949" s="1635"/>
      <c r="AB949" s="1526"/>
      <c r="AC949" s="1526"/>
      <c r="AD949" s="1526"/>
      <c r="AE949" s="1526"/>
      <c r="AF949" s="1636"/>
      <c r="AU949" s="2"/>
      <c r="AZ949" s="34"/>
      <c r="BA949" s="34"/>
      <c r="BB949" s="34"/>
      <c r="BC949" s="34"/>
    </row>
    <row r="950" spans="1:55" ht="12.9" customHeight="1">
      <c r="F950" s="47" t="s">
        <v>169</v>
      </c>
      <c r="G950" s="48"/>
      <c r="H950" s="48"/>
      <c r="I950" s="1701" t="s">
        <v>333</v>
      </c>
      <c r="J950" s="1702"/>
      <c r="K950" s="1702"/>
      <c r="L950" s="1702"/>
      <c r="M950" s="1702"/>
      <c r="N950" s="1702"/>
      <c r="O950" s="1702"/>
      <c r="P950" s="1702"/>
      <c r="Q950" s="1702"/>
      <c r="R950" s="1702"/>
      <c r="S950" s="1702"/>
      <c r="T950" s="1703"/>
      <c r="U950" s="1631" t="s">
        <v>590</v>
      </c>
      <c r="V950" s="1427"/>
      <c r="W950" s="1427"/>
      <c r="X950" s="1427"/>
      <c r="Y950" s="1427"/>
      <c r="Z950" s="1428"/>
      <c r="AA950" s="1635"/>
      <c r="AB950" s="1526"/>
      <c r="AC950" s="1526"/>
      <c r="AD950" s="1526"/>
      <c r="AE950" s="1526"/>
      <c r="AF950" s="1636"/>
      <c r="AU950" s="2"/>
      <c r="AZ950" s="34"/>
      <c r="BA950" s="34"/>
      <c r="BB950" s="34"/>
      <c r="BC950" s="34"/>
    </row>
    <row r="951" spans="1:55" ht="12.9" customHeight="1">
      <c r="AU951" s="2"/>
      <c r="AZ951" s="34"/>
      <c r="BA951" s="34"/>
      <c r="BB951" s="34"/>
      <c r="BC951" s="34"/>
    </row>
    <row r="952" spans="1:55" ht="12.9" customHeight="1">
      <c r="A952" s="2" t="s">
        <v>575</v>
      </c>
      <c r="C952" s="2" t="s">
        <v>750</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5">
        <v>45518</v>
      </c>
      <c r="N955" s="1521"/>
      <c r="O955" s="1521"/>
      <c r="P955" s="1521"/>
      <c r="Q955" s="1521"/>
      <c r="R955" s="1521"/>
      <c r="S955" s="1626"/>
      <c r="U955" s="66" t="s">
        <v>11</v>
      </c>
      <c r="V955" s="5"/>
      <c r="W955" s="5"/>
      <c r="X955" s="5"/>
      <c r="Y955" s="5"/>
      <c r="Z955" s="5"/>
      <c r="AA955" s="5"/>
      <c r="AB955" s="5"/>
      <c r="AC955" s="5"/>
      <c r="AD955" s="46"/>
      <c r="AE955" s="1705">
        <v>45743</v>
      </c>
      <c r="AF955" s="1521"/>
      <c r="AG955" s="1521"/>
      <c r="AH955" s="1521"/>
      <c r="AI955" s="1521"/>
      <c r="AJ955" s="1521"/>
      <c r="AK955" s="1626"/>
      <c r="AZ955" s="34"/>
      <c r="BA955" s="34"/>
      <c r="BB955" s="34"/>
      <c r="BC955" s="34"/>
    </row>
    <row r="956" spans="1:55" ht="12.9" customHeight="1">
      <c r="C956" s="66" t="s">
        <v>12</v>
      </c>
      <c r="D956" s="5"/>
      <c r="E956" s="5"/>
      <c r="F956" s="5"/>
      <c r="G956" s="5"/>
      <c r="H956" s="5"/>
      <c r="I956" s="5"/>
      <c r="J956" s="5"/>
      <c r="K956" s="5"/>
      <c r="L956" s="46"/>
      <c r="M956" s="1664" t="s">
        <v>2674</v>
      </c>
      <c r="N956" s="1520"/>
      <c r="O956" s="1520"/>
      <c r="P956" s="1520"/>
      <c r="Q956" s="1520"/>
      <c r="R956" s="1520"/>
      <c r="S956" s="1665"/>
      <c r="U956" s="66" t="s">
        <v>12</v>
      </c>
      <c r="V956" s="5"/>
      <c r="W956" s="5"/>
      <c r="X956" s="5"/>
      <c r="Y956" s="5"/>
      <c r="Z956" s="5"/>
      <c r="AA956" s="5"/>
      <c r="AB956" s="5"/>
      <c r="AC956" s="5"/>
      <c r="AD956" s="46"/>
      <c r="AE956" s="1664" t="s">
        <v>2698</v>
      </c>
      <c r="AF956" s="1520"/>
      <c r="AG956" s="1520"/>
      <c r="AH956" s="1520"/>
      <c r="AI956" s="1520"/>
      <c r="AJ956" s="1520"/>
      <c r="AK956" s="1665"/>
      <c r="AZ956" s="34"/>
      <c r="BA956" s="34"/>
      <c r="BB956" s="34"/>
      <c r="BC956" s="34"/>
    </row>
    <row r="957" spans="1:55" ht="12.9" customHeight="1">
      <c r="C957" s="66" t="s">
        <v>879</v>
      </c>
      <c r="D957" s="5"/>
      <c r="E957" s="5"/>
      <c r="J957" s="1809" t="s">
        <v>2697</v>
      </c>
      <c r="K957" s="1810"/>
      <c r="L957" s="1810"/>
      <c r="M957" s="1810"/>
      <c r="N957" s="1810"/>
      <c r="O957" s="1810"/>
      <c r="P957" s="1810"/>
      <c r="Q957" s="1810"/>
      <c r="R957" s="1810"/>
      <c r="S957" s="1811"/>
      <c r="U957" s="66" t="s">
        <v>879</v>
      </c>
      <c r="V957" s="5"/>
      <c r="W957" s="5"/>
      <c r="AB957" s="1809" t="s">
        <v>2701</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06">
        <f>33/89</f>
        <v>0.3707865168539326</v>
      </c>
      <c r="N958" s="1707"/>
      <c r="O958" s="1707"/>
      <c r="P958" s="1707"/>
      <c r="Q958" s="1707"/>
      <c r="R958" s="1707"/>
      <c r="S958" s="1708"/>
      <c r="U958" s="66" t="s">
        <v>13</v>
      </c>
      <c r="V958" s="5"/>
      <c r="W958" s="5"/>
      <c r="X958" s="5"/>
      <c r="Y958" s="5"/>
      <c r="Z958" s="5"/>
      <c r="AA958" s="5"/>
      <c r="AB958" s="5"/>
      <c r="AC958" s="5"/>
      <c r="AD958" s="46"/>
      <c r="AE958" s="1780">
        <f>9/89</f>
        <v>0.10112359550561797</v>
      </c>
      <c r="AF958" s="1707"/>
      <c r="AG958" s="1707"/>
      <c r="AH958" s="1707"/>
      <c r="AI958" s="1707"/>
      <c r="AJ958" s="1707"/>
      <c r="AK958" s="1708"/>
      <c r="AZ958" s="34"/>
      <c r="BA958" s="34"/>
      <c r="BB958" s="34"/>
      <c r="BC958" s="34"/>
    </row>
    <row r="959" spans="1:55" ht="12.9" customHeight="1">
      <c r="C959" s="66" t="s">
        <v>14</v>
      </c>
      <c r="D959" s="5"/>
      <c r="E959" s="5"/>
      <c r="F959" s="5"/>
      <c r="G959" s="5"/>
      <c r="H959" s="5"/>
      <c r="I959" s="5"/>
      <c r="J959" s="5"/>
      <c r="K959" s="5"/>
      <c r="L959" s="46"/>
      <c r="M959" s="1726">
        <v>33</v>
      </c>
      <c r="N959" s="1611"/>
      <c r="O959" s="1611"/>
      <c r="P959" s="1611"/>
      <c r="Q959" s="1611"/>
      <c r="R959" s="1611"/>
      <c r="S959" s="1612"/>
      <c r="U959" s="66" t="s">
        <v>14</v>
      </c>
      <c r="V959" s="5"/>
      <c r="W959" s="5"/>
      <c r="X959" s="5"/>
      <c r="Y959" s="5"/>
      <c r="Z959" s="5"/>
      <c r="AA959" s="5"/>
      <c r="AB959" s="5"/>
      <c r="AC959" s="5"/>
      <c r="AD959" s="46"/>
      <c r="AE959" s="1726">
        <v>9</v>
      </c>
      <c r="AF959" s="1611"/>
      <c r="AG959" s="1611"/>
      <c r="AH959" s="1611"/>
      <c r="AI959" s="1611"/>
      <c r="AJ959" s="1611"/>
      <c r="AK959" s="1612"/>
      <c r="AV959" s="2"/>
      <c r="AW959" s="2"/>
      <c r="AX959" s="2"/>
      <c r="AY959" s="2"/>
      <c r="AZ959" s="34"/>
      <c r="BA959" s="34"/>
      <c r="BB959" s="34"/>
      <c r="BC959" s="34"/>
    </row>
    <row r="960" spans="1:55" ht="12.9" customHeight="1">
      <c r="C960" s="66" t="s">
        <v>15</v>
      </c>
      <c r="D960" s="5"/>
      <c r="E960" s="5"/>
      <c r="F960" s="5"/>
      <c r="G960" s="5"/>
      <c r="H960" s="5"/>
      <c r="I960" s="5"/>
      <c r="J960" s="5"/>
      <c r="K960" s="5"/>
      <c r="L960" s="46"/>
      <c r="M960" s="1635">
        <v>673342</v>
      </c>
      <c r="N960" s="1526"/>
      <c r="O960" s="1526"/>
      <c r="P960" s="1526"/>
      <c r="Q960" s="1526"/>
      <c r="R960" s="1526"/>
      <c r="S960" s="1636"/>
      <c r="U960" s="66" t="s">
        <v>15</v>
      </c>
      <c r="V960" s="5"/>
      <c r="W960" s="5"/>
      <c r="X960" s="5"/>
      <c r="Y960" s="5"/>
      <c r="Z960" s="5"/>
      <c r="AA960" s="5"/>
      <c r="AB960" s="5"/>
      <c r="AC960" s="5"/>
      <c r="AD960" s="46"/>
      <c r="AE960" s="1635">
        <v>230954</v>
      </c>
      <c r="AF960" s="1526"/>
      <c r="AG960" s="1526"/>
      <c r="AH960" s="1526"/>
      <c r="AI960" s="1526"/>
      <c r="AJ960" s="1526"/>
      <c r="AK960" s="1636"/>
      <c r="AV960" s="2"/>
      <c r="AW960" s="2"/>
      <c r="AX960" s="2"/>
      <c r="AY960" s="2"/>
      <c r="AZ960" s="34"/>
      <c r="BA960" s="34"/>
      <c r="BB960" s="34"/>
      <c r="BC960" s="34"/>
    </row>
    <row r="961" spans="1:64" ht="12.9" customHeight="1">
      <c r="C961" s="66" t="s">
        <v>16</v>
      </c>
      <c r="D961" s="5"/>
      <c r="E961" s="5"/>
      <c r="F961" s="5"/>
      <c r="G961" s="5"/>
      <c r="H961" s="5"/>
      <c r="I961" s="5"/>
      <c r="J961" s="5"/>
      <c r="K961" s="5"/>
      <c r="L961" s="46"/>
      <c r="M961" s="1635">
        <f>M960*M962</f>
        <v>13466840</v>
      </c>
      <c r="N961" s="1526"/>
      <c r="O961" s="1526"/>
      <c r="P961" s="1526"/>
      <c r="Q961" s="1526"/>
      <c r="R961" s="1526"/>
      <c r="S961" s="1636"/>
      <c r="U961" s="66" t="s">
        <v>16</v>
      </c>
      <c r="V961" s="5"/>
      <c r="W961" s="5"/>
      <c r="X961" s="5"/>
      <c r="Y961" s="5"/>
      <c r="Z961" s="5"/>
      <c r="AA961" s="5"/>
      <c r="AB961" s="5"/>
      <c r="AC961" s="5"/>
      <c r="AD961" s="46"/>
      <c r="AE961" s="1635">
        <v>1739273</v>
      </c>
      <c r="AF961" s="1526"/>
      <c r="AG961" s="1526"/>
      <c r="AH961" s="1526"/>
      <c r="AI961" s="1526"/>
      <c r="AJ961" s="1526"/>
      <c r="AK961" s="1636"/>
      <c r="AV961" s="2"/>
      <c r="AW961" s="2"/>
      <c r="AX961" s="2"/>
      <c r="AY961" s="2"/>
      <c r="AZ961" s="34"/>
      <c r="BB961" s="34"/>
      <c r="BC961" s="34"/>
    </row>
    <row r="962" spans="1:64" ht="12.9" customHeight="1">
      <c r="C962" s="121" t="s">
        <v>1660</v>
      </c>
      <c r="D962" s="5"/>
      <c r="E962" s="5"/>
      <c r="F962" s="5"/>
      <c r="G962" s="5"/>
      <c r="H962" s="5"/>
      <c r="I962" s="5"/>
      <c r="J962" s="5"/>
      <c r="K962" s="5"/>
      <c r="L962" s="46"/>
      <c r="M962" s="1777">
        <v>20</v>
      </c>
      <c r="N962" s="1778"/>
      <c r="O962" s="1778"/>
      <c r="P962" s="1778"/>
      <c r="Q962" s="1778"/>
      <c r="R962" s="1778"/>
      <c r="S962" s="1779"/>
      <c r="U962" s="121" t="s">
        <v>1660</v>
      </c>
      <c r="V962" s="5"/>
      <c r="W962" s="5"/>
      <c r="X962" s="5"/>
      <c r="Y962" s="5"/>
      <c r="Z962" s="5"/>
      <c r="AA962" s="5"/>
      <c r="AB962" s="5"/>
      <c r="AC962" s="5"/>
      <c r="AD962" s="46"/>
      <c r="AE962" s="1777">
        <v>20</v>
      </c>
      <c r="AF962" s="1778"/>
      <c r="AG962" s="1778"/>
      <c r="AH962" s="1778"/>
      <c r="AI962" s="1778"/>
      <c r="AJ962" s="1778"/>
      <c r="AK962" s="177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570</v>
      </c>
      <c r="G967" s="5"/>
      <c r="H967" s="5"/>
      <c r="I967" s="5"/>
      <c r="J967" s="5"/>
      <c r="K967" s="5"/>
      <c r="L967" s="46"/>
      <c r="M967" s="1661"/>
      <c r="N967" s="1662"/>
      <c r="O967" s="1662"/>
      <c r="P967" s="1662"/>
      <c r="Q967" s="1662"/>
      <c r="R967" s="1662"/>
      <c r="S967" s="1663"/>
      <c r="T967" s="66" t="s">
        <v>789</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571</v>
      </c>
      <c r="G968" s="5"/>
      <c r="H968" s="5"/>
      <c r="I968" s="5"/>
      <c r="J968" s="5"/>
      <c r="K968" s="5"/>
      <c r="L968" s="46"/>
      <c r="M968" s="1661"/>
      <c r="N968" s="1662"/>
      <c r="O968" s="1662"/>
      <c r="P968" s="1662"/>
      <c r="Q968" s="1662"/>
      <c r="R968" s="1662"/>
      <c r="S968" s="1663"/>
      <c r="T968" s="66" t="s">
        <v>788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900</v>
      </c>
      <c r="G969" s="5"/>
      <c r="H969" s="5"/>
      <c r="I969" s="5"/>
      <c r="J969" s="5"/>
      <c r="K969" s="5"/>
      <c r="L969" s="46"/>
      <c r="M969" s="1709" t="s">
        <v>590</v>
      </c>
      <c r="N969" s="1710"/>
      <c r="O969" s="1710"/>
      <c r="P969" s="1710"/>
      <c r="Q969" s="1710"/>
      <c r="R969" s="1710"/>
      <c r="S969" s="1711"/>
      <c r="T969" s="45" t="s">
        <v>336</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572</v>
      </c>
      <c r="G970" s="5"/>
      <c r="H970" s="5"/>
      <c r="I970" s="5"/>
      <c r="J970" s="5"/>
      <c r="K970" s="5"/>
      <c r="L970" s="46"/>
      <c r="M970" s="1661"/>
      <c r="N970" s="1662"/>
      <c r="O970" s="1662"/>
      <c r="P970" s="1662"/>
      <c r="Q970" s="1662"/>
      <c r="R970" s="1662"/>
      <c r="S970" s="1663"/>
      <c r="T970" s="45" t="s">
        <v>337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463</v>
      </c>
      <c r="G971" s="5"/>
      <c r="H971" s="5"/>
      <c r="I971" s="5"/>
      <c r="J971" s="5"/>
      <c r="K971" s="5"/>
      <c r="L971" s="46"/>
      <c r="M971" s="1661"/>
      <c r="N971" s="1662"/>
      <c r="O971" s="1662"/>
      <c r="P971" s="1662"/>
      <c r="Q971" s="1662"/>
      <c r="R971" s="1662"/>
      <c r="S971" s="1663"/>
      <c r="T971" s="45" t="s">
        <v>375</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879</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464</v>
      </c>
      <c r="G973" s="42"/>
      <c r="H973" s="42"/>
      <c r="I973" s="42"/>
      <c r="J973" s="42"/>
      <c r="K973" s="42"/>
      <c r="L973" s="58"/>
      <c r="M973" s="1661"/>
      <c r="N973" s="1662"/>
      <c r="O973" s="1662"/>
      <c r="P973" s="1662"/>
      <c r="Q973" s="1662"/>
      <c r="R973" s="1662"/>
      <c r="S973" s="1663"/>
      <c r="T973" s="1764"/>
      <c r="U973" s="1765"/>
      <c r="V973" s="1765"/>
      <c r="W973" s="1765"/>
      <c r="X973" s="1765"/>
      <c r="Y973" s="1765"/>
      <c r="Z973" s="1766"/>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70" t="s">
        <v>668</v>
      </c>
      <c r="P974" s="1372"/>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06" t="s">
        <v>33</v>
      </c>
      <c r="G975" s="1483"/>
      <c r="H975" s="1483"/>
      <c r="I975" s="1483"/>
      <c r="J975" s="1483"/>
      <c r="K975" s="1483"/>
      <c r="L975" s="1483"/>
      <c r="M975" s="1661"/>
      <c r="N975" s="1662"/>
      <c r="O975" s="1662"/>
      <c r="P975" s="1662"/>
      <c r="Q975" s="1662"/>
      <c r="R975" s="1662"/>
      <c r="S975" s="1663"/>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547</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2" t="s">
        <v>637</v>
      </c>
      <c r="E985" s="1793"/>
      <c r="F985" s="1793"/>
      <c r="G985" s="1793"/>
      <c r="H985" s="1793"/>
      <c r="I985" s="1793"/>
      <c r="J985" s="1793"/>
      <c r="K985" s="1793"/>
      <c r="L985" s="1793"/>
      <c r="M985" s="1793"/>
      <c r="N985" s="1793"/>
      <c r="O985" s="1793"/>
      <c r="P985" s="1793"/>
      <c r="Q985" s="1794"/>
      <c r="R985" s="1792" t="s">
        <v>638</v>
      </c>
      <c r="S985" s="1793"/>
      <c r="T985" s="1793"/>
      <c r="U985" s="1793"/>
      <c r="V985" s="1793"/>
      <c r="W985" s="1793"/>
      <c r="X985" s="1793"/>
      <c r="Y985" s="1793"/>
      <c r="Z985" s="1793"/>
      <c r="AA985" s="1794"/>
      <c r="AB985" s="1792" t="s">
        <v>639</v>
      </c>
      <c r="AC985" s="1793"/>
      <c r="AD985" s="1793"/>
      <c r="AE985" s="1793"/>
      <c r="AF985" s="1793"/>
      <c r="AG985" s="1793"/>
      <c r="AH985" s="1793"/>
      <c r="AI985" s="1794"/>
      <c r="AJ985" s="1792" t="s">
        <v>640</v>
      </c>
      <c r="AK985" s="1793"/>
      <c r="AL985" s="1793"/>
      <c r="AM985" s="1793"/>
      <c r="AN985" s="1793"/>
      <c r="AO985" s="1793"/>
      <c r="AP985" s="1793"/>
      <c r="AQ985" s="1794"/>
      <c r="AR985" s="68"/>
      <c r="AS985" s="68"/>
      <c r="AT985" s="68"/>
      <c r="AU985" s="68"/>
      <c r="AV985" s="68"/>
      <c r="AW985" s="68"/>
      <c r="AX985" s="68"/>
      <c r="AY985" s="68"/>
      <c r="AZ985" s="30"/>
      <c r="BB985" s="14"/>
      <c r="BC985" s="14"/>
    </row>
    <row r="986" spans="1:64" ht="12.9" customHeight="1">
      <c r="A986" s="14"/>
      <c r="B986" s="73"/>
      <c r="C986" s="929"/>
      <c r="D986" s="1798" t="s">
        <v>632</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404366</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466230</v>
      </c>
      <c r="S987" s="1785"/>
      <c r="T987" s="1785"/>
      <c r="U987" s="1785"/>
      <c r="V987" s="1785"/>
      <c r="W987" s="1785"/>
      <c r="X987" s="1785"/>
      <c r="Y987" s="1785"/>
      <c r="Z987" s="1785"/>
      <c r="AA987" s="1785"/>
      <c r="AB987" s="1782">
        <f>CU802</f>
        <v>33</v>
      </c>
      <c r="AC987" s="1783"/>
      <c r="AD987" s="1783"/>
      <c r="AE987" s="1783"/>
      <c r="AF987" s="1783"/>
      <c r="AG987" s="1783"/>
      <c r="AH987" s="1783"/>
      <c r="AI987" s="1784"/>
      <c r="AJ987" s="1718">
        <f>IF(ISERROR((R987*AB987)),0,(R987*AB987))</f>
        <v>15385590</v>
      </c>
      <c r="AK987" s="1719"/>
      <c r="AL987" s="1719"/>
      <c r="AM987" s="1719"/>
      <c r="AN987" s="1719"/>
      <c r="AO987" s="1719"/>
      <c r="AP987" s="1719"/>
      <c r="AQ987" s="1720"/>
      <c r="AR987" s="68"/>
      <c r="AS987" s="68"/>
      <c r="AT987" s="68"/>
      <c r="AU987" s="68"/>
      <c r="AV987" s="68"/>
      <c r="AW987" s="68"/>
      <c r="AX987" s="68"/>
      <c r="AY987" s="68"/>
      <c r="AZ987" s="30"/>
      <c r="BB987" s="14"/>
      <c r="BC987" s="14"/>
    </row>
    <row r="988" spans="1:64" ht="12.9"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562400</v>
      </c>
      <c r="S988" s="1785"/>
      <c r="T988" s="1785"/>
      <c r="U988" s="1785"/>
      <c r="V988" s="1785"/>
      <c r="W988" s="1785"/>
      <c r="X988" s="1785"/>
      <c r="Y988" s="1785"/>
      <c r="Z988" s="1785"/>
      <c r="AA988" s="1785"/>
      <c r="AB988" s="1782">
        <f>CZ802</f>
        <v>24</v>
      </c>
      <c r="AC988" s="1783"/>
      <c r="AD988" s="1783"/>
      <c r="AE988" s="1783"/>
      <c r="AF988" s="1783"/>
      <c r="AG988" s="1783"/>
      <c r="AH988" s="1783"/>
      <c r="AI988" s="1784"/>
      <c r="AJ988" s="1718">
        <f>IF(ISERROR((R988*AB988)),0,(R988*AB988))</f>
        <v>13497600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719872</v>
      </c>
      <c r="S989" s="1785"/>
      <c r="T989" s="1785"/>
      <c r="U989" s="1785"/>
      <c r="V989" s="1785"/>
      <c r="W989" s="1785"/>
      <c r="X989" s="1785"/>
      <c r="Y989" s="1785"/>
      <c r="Z989" s="1785"/>
      <c r="AA989" s="1785"/>
      <c r="AB989" s="1782">
        <f>DE802</f>
        <v>23</v>
      </c>
      <c r="AC989" s="1783"/>
      <c r="AD989" s="1783"/>
      <c r="AE989" s="1783"/>
      <c r="AF989" s="1783"/>
      <c r="AG989" s="1783"/>
      <c r="AH989" s="1783"/>
      <c r="AI989" s="1784"/>
      <c r="AJ989" s="1718">
        <f>IF(ISERROR((R989*AB989)),0,(R989*AB989))</f>
        <v>16557056</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 customHeight="1">
      <c r="A990" s="14"/>
      <c r="B990" s="47"/>
      <c r="C990" s="78"/>
      <c r="D990" s="1798" t="s">
        <v>459</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801982</v>
      </c>
      <c r="S990" s="1785"/>
      <c r="T990" s="1785"/>
      <c r="U990" s="1785"/>
      <c r="V990" s="1785"/>
      <c r="W990" s="1785"/>
      <c r="X990" s="1785"/>
      <c r="Y990" s="1785"/>
      <c r="Z990" s="1785"/>
      <c r="AA990" s="1785"/>
      <c r="AB990" s="1782">
        <f>DO802+DJ802</f>
        <v>10</v>
      </c>
      <c r="AC990" s="1783"/>
      <c r="AD990" s="1783"/>
      <c r="AE990" s="1783"/>
      <c r="AF990" s="1783"/>
      <c r="AG990" s="1783"/>
      <c r="AH990" s="1783"/>
      <c r="AI990" s="1784"/>
      <c r="AJ990" s="1718">
        <f>IF(ISERROR((R990*AB990)),0,(R990*AB990))</f>
        <v>8019820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 customHeight="1">
      <c r="A991" s="14"/>
      <c r="B991" s="1739" t="s">
        <v>790</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90</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 customHeight="1">
      <c r="A992" s="14"/>
      <c r="B992" s="1795" t="s">
        <v>511</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53460066</v>
      </c>
      <c r="AK992" s="1719"/>
      <c r="AL992" s="1719"/>
      <c r="AM992" s="1719"/>
      <c r="AN992" s="1719"/>
      <c r="AO992" s="1719"/>
      <c r="AP992" s="1719"/>
      <c r="AQ992" s="1720"/>
      <c r="AR992" s="68"/>
      <c r="AS992" s="68"/>
      <c r="AT992" s="68"/>
      <c r="AU992" s="68"/>
      <c r="AV992" s="68"/>
      <c r="AW992" s="68"/>
      <c r="AX992" s="68"/>
      <c r="AY992" s="68"/>
      <c r="AZ992" s="34"/>
      <c r="BB992" s="34"/>
      <c r="BC992" s="34"/>
    </row>
    <row r="993" spans="1:55" ht="12.9"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665</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 customHeight="1">
      <c r="A994" s="14"/>
      <c r="B994" s="73"/>
      <c r="C994" s="927" t="s">
        <v>667</v>
      </c>
      <c r="D994" s="1736" t="s">
        <v>1219</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544</v>
      </c>
      <c r="AH994" s="1831"/>
      <c r="AI994" s="87"/>
      <c r="AJ994" s="1727">
        <f>ROUND(IF(AND(AG994="yes",D1000&gt;0),AJ992*0.2,0),0)</f>
        <v>10692013</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 customHeight="1">
      <c r="A995" s="14"/>
      <c r="B995" s="257"/>
      <c r="C995" s="256"/>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 customHeight="1">
      <c r="A999" s="14"/>
      <c r="B999" s="257"/>
      <c r="C999" s="256"/>
      <c r="D999" s="1773" t="s">
        <v>2205</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 customHeight="1">
      <c r="A1000" s="14"/>
      <c r="B1000" s="257"/>
      <c r="C1000" s="256"/>
      <c r="D1000" s="1742" t="s">
        <v>2675</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 customHeight="1">
      <c r="A1001" s="14"/>
      <c r="B1001" s="255"/>
      <c r="C1001" s="318"/>
      <c r="D1001" s="1767" t="s">
        <v>1285</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668</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 customHeight="1">
      <c r="A1002" s="14"/>
      <c r="B1002" s="257"/>
      <c r="C1002" s="82"/>
      <c r="D1002" s="1770" t="s">
        <v>1283</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89</v>
      </c>
      <c r="AZ1003" s="34"/>
      <c r="BB1003" s="34"/>
    </row>
    <row r="1004" spans="1:55" ht="12.9"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0.15</v>
      </c>
      <c r="AZ1005" s="34"/>
      <c r="BB1005" s="34"/>
    </row>
    <row r="1006" spans="1:55" ht="12.9"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0.34</v>
      </c>
      <c r="AZ1006" s="34"/>
      <c r="BB1006" s="34"/>
    </row>
    <row r="1007" spans="1:55" ht="12.9" customHeight="1">
      <c r="A1007" s="14"/>
      <c r="B1007" s="255"/>
      <c r="C1007" s="80" t="s">
        <v>671</v>
      </c>
      <c r="D1007" s="1767" t="s">
        <v>1682</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668</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 customHeight="1">
      <c r="A1008" s="14"/>
      <c r="B1008" s="73"/>
      <c r="C1008" s="74"/>
      <c r="D1008" s="1698" t="s">
        <v>1284</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 customHeight="1">
      <c r="A1011" s="14"/>
      <c r="B1011" s="79"/>
      <c r="C1011" s="80" t="s">
        <v>211</v>
      </c>
      <c r="D1011" s="1767" t="s">
        <v>1286</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668</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1287</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1840</v>
      </c>
      <c r="AZ1012" s="3" t="s">
        <v>2607</v>
      </c>
    </row>
    <row r="1013" spans="1:52" ht="12.9" customHeight="1">
      <c r="A1013" s="14"/>
      <c r="B1013" s="79"/>
      <c r="C1013" s="80" t="s">
        <v>214</v>
      </c>
      <c r="D1013" s="1767" t="s">
        <v>1288</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668</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0.2</v>
      </c>
      <c r="AZ1013" s="1255">
        <v>0.2</v>
      </c>
    </row>
    <row r="1014" spans="1:52" ht="12.9" customHeight="1">
      <c r="A1014" s="14"/>
      <c r="B1014" s="73"/>
      <c r="C1014" s="74"/>
      <c r="D1014" s="1698" t="s">
        <v>1289</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 customHeight="1">
      <c r="A1016" s="14"/>
      <c r="B1016" s="79"/>
      <c r="C1016" s="80" t="s">
        <v>217</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544</v>
      </c>
      <c r="AH1016" s="1754"/>
      <c r="AI1016" s="87"/>
      <c r="AJ1016" s="1727">
        <f>IF(AG1016="yes",AJ992*AY1024,0)</f>
        <v>10692013.200000001</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 customHeight="1">
      <c r="A1017" s="14"/>
      <c r="B1017" s="73"/>
      <c r="C1017" s="74"/>
      <c r="D1017" s="1698" t="s">
        <v>1290</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 customHeight="1">
      <c r="A1020" s="14"/>
      <c r="B1020" s="79"/>
      <c r="C1020" s="80" t="s">
        <v>222</v>
      </c>
      <c r="D1020" s="1815" t="s">
        <v>1291</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668</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 customHeight="1">
      <c r="A1022" s="14"/>
      <c r="B1022" s="81"/>
      <c r="C1022" s="84"/>
      <c r="D1022" s="1698" t="s">
        <v>1292</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 customHeight="1">
      <c r="A1024" s="14"/>
      <c r="B1024" s="81"/>
      <c r="C1024" s="84"/>
      <c r="D1024" s="526" t="s">
        <v>358</v>
      </c>
      <c r="E1024" s="90"/>
      <c r="F1024" s="90"/>
      <c r="G1024" s="104"/>
      <c r="H1024" s="104"/>
      <c r="I1024" s="49"/>
      <c r="J1024" s="1824" t="s">
        <v>590</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2606</v>
      </c>
      <c r="AY1024" s="201">
        <f>IF(SUM(AY1013:AY1023)&lt;=0.2,SUM(AY1013:AY1023),0.2)</f>
        <v>0.2</v>
      </c>
    </row>
    <row r="1025" spans="1:57" ht="12.9" customHeight="1">
      <c r="A1025" s="14"/>
      <c r="B1025" s="79"/>
      <c r="C1025" s="80" t="s">
        <v>228</v>
      </c>
      <c r="D1025" s="1767" t="s">
        <v>1293</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544</v>
      </c>
      <c r="AH1025" s="1754"/>
      <c r="AI1025" s="87"/>
      <c r="AJ1025" s="1727">
        <f>ROUND(IF(AG1025="Yes",AF1027,0),0)</f>
        <v>1355001</v>
      </c>
      <c r="AK1025" s="1728"/>
      <c r="AL1025" s="1728"/>
      <c r="AM1025" s="1728"/>
      <c r="AN1025" s="1728"/>
      <c r="AO1025" s="1728"/>
      <c r="AP1025" s="1728"/>
      <c r="AQ1025" s="1729"/>
      <c r="AR1025" s="68"/>
      <c r="AS1025" s="68"/>
      <c r="AT1025" s="68"/>
      <c r="AU1025" s="68"/>
      <c r="AV1025" s="68"/>
      <c r="AW1025" s="68"/>
      <c r="AX1025" s="68"/>
      <c r="AY1025" s="68"/>
    </row>
    <row r="1026" spans="1:57" ht="12.9" customHeight="1">
      <c r="A1026" s="14"/>
      <c r="B1026" s="73"/>
      <c r="C1026" s="74"/>
      <c r="D1026" s="1698" t="s">
        <v>1689</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f>'Sources and Uses Budget'!C85</f>
        <v>1355001</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 customHeight="1">
      <c r="A1029" s="14"/>
      <c r="B1029" s="79"/>
      <c r="C1029" s="80" t="s">
        <v>233</v>
      </c>
      <c r="D1029" s="1736" t="s">
        <v>1294</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544</v>
      </c>
      <c r="AH1029" s="1754"/>
      <c r="AI1029" s="87"/>
      <c r="AJ1029" s="1727">
        <f>ROUND(IF(AG1029="yes",(AJ992*0.1),0),0)</f>
        <v>5346007</v>
      </c>
      <c r="AK1029" s="1728"/>
      <c r="AL1029" s="1728"/>
      <c r="AM1029" s="1728"/>
      <c r="AN1029" s="1728"/>
      <c r="AO1029" s="1728"/>
      <c r="AP1029" s="1728"/>
      <c r="AQ1029" s="1729"/>
      <c r="AR1029" s="68"/>
      <c r="AS1029" s="68"/>
      <c r="AT1029" s="68"/>
      <c r="AU1029" s="68"/>
      <c r="AV1029" s="68"/>
      <c r="AW1029" s="68"/>
      <c r="AX1029" s="68"/>
      <c r="AY1029" s="68"/>
    </row>
    <row r="1030" spans="1:57" ht="12.9" customHeight="1">
      <c r="A1030" s="14"/>
      <c r="B1030" s="73"/>
      <c r="C1030" s="74"/>
      <c r="D1030" s="1698" t="s">
        <v>1295</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 customHeight="1">
      <c r="A1032" s="14"/>
      <c r="B1032" s="73"/>
      <c r="C1032" s="339" t="s">
        <v>686</v>
      </c>
      <c r="D1032" s="1767" t="s">
        <v>1685</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668</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 customHeight="1">
      <c r="A1033" s="14"/>
      <c r="B1033" s="73"/>
      <c r="C1033" s="74"/>
      <c r="D1033" s="1804"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 customHeight="1">
      <c r="A1036" s="14"/>
      <c r="B1036" s="73"/>
      <c r="C1036" s="339" t="s">
        <v>686</v>
      </c>
      <c r="D1036" s="1736" t="s">
        <v>1687</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668</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 customHeight="1">
      <c r="A1037" s="14"/>
      <c r="B1037" s="73"/>
      <c r="C1037" s="74"/>
      <c r="D1037" s="1804"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0.5056179775280899</v>
      </c>
      <c r="BB1039" s="3" t="s">
        <v>2493</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2.9" customHeight="1">
      <c r="A1041" s="14"/>
      <c r="B1041" s="79"/>
      <c r="C1041" s="131" t="s">
        <v>1009</v>
      </c>
      <c r="D1041" s="1767" t="s">
        <v>1296</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668</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32</v>
      </c>
      <c r="BB1041" s="3" t="s">
        <v>2491</v>
      </c>
    </row>
    <row r="1042" spans="1:56" ht="12.9" customHeight="1">
      <c r="A1042" s="14"/>
      <c r="B1042" s="73"/>
      <c r="C1042" s="74"/>
      <c r="D1042" s="1698" t="s">
        <v>2144</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0.3595505617977528</v>
      </c>
      <c r="BB1042" s="3" t="s">
        <v>2492</v>
      </c>
    </row>
    <row r="1043" spans="1:56" ht="12.9"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 customHeight="1">
      <c r="A1045" s="14"/>
      <c r="B1045" s="79"/>
      <c r="C1045" s="131" t="s">
        <v>1683</v>
      </c>
      <c r="D1045" s="1736" t="s">
        <v>1864</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8019009.8999999994</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8" t="s">
        <v>1298</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10612420.5</v>
      </c>
      <c r="BA1046" s="1182">
        <f>IF(BA1040,20%,15%)</f>
        <v>0.15</v>
      </c>
      <c r="BB1046" s="3" t="s">
        <v>2479</v>
      </c>
      <c r="BC1046" s="3" t="s">
        <v>2480</v>
      </c>
      <c r="BD1046" s="3"/>
    </row>
    <row r="1047" spans="1:56" ht="12.9"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 customHeight="1">
      <c r="A1048" s="14"/>
      <c r="B1048" s="77"/>
      <c r="C1048" s="78"/>
      <c r="D1048" s="132" t="s">
        <v>971</v>
      </c>
      <c r="E1048" s="133"/>
      <c r="F1048" s="133"/>
      <c r="G1048" s="133"/>
      <c r="H1048" s="133"/>
      <c r="I1048" s="1790">
        <f>AY1003</f>
        <v>89</v>
      </c>
      <c r="J1048" s="1791"/>
      <c r="K1048" s="7"/>
      <c r="L1048" s="133"/>
      <c r="M1048" s="133"/>
      <c r="N1048" s="133"/>
      <c r="O1048" s="133"/>
      <c r="P1048" s="133"/>
      <c r="Q1048" s="133"/>
      <c r="R1048" s="133"/>
      <c r="S1048" s="133"/>
      <c r="T1048" s="133"/>
      <c r="U1048" s="133"/>
      <c r="V1048" s="134" t="s">
        <v>972</v>
      </c>
      <c r="W1048" s="48"/>
      <c r="X1048" s="1788">
        <f>CI753</f>
        <v>14</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 customHeight="1">
      <c r="A1049" s="14"/>
      <c r="B1049" s="79"/>
      <c r="C1049" s="131" t="s">
        <v>1684</v>
      </c>
      <c r="D1049" s="1767" t="s">
        <v>2170</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36352844.880000003</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2479</v>
      </c>
      <c r="BC1049" s="3" t="s">
        <v>2483</v>
      </c>
      <c r="BD1049" s="3"/>
    </row>
    <row r="1050" spans="1:56" ht="12.9" customHeight="1">
      <c r="A1050" s="14"/>
      <c r="B1050" s="73"/>
      <c r="C1050" s="442"/>
      <c r="D1050" s="1698" t="s">
        <v>1297</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971</v>
      </c>
      <c r="E1052" s="133"/>
      <c r="F1052" s="133"/>
      <c r="G1052" s="133"/>
      <c r="H1052" s="133"/>
      <c r="I1052" s="1790">
        <f>AY1003</f>
        <v>89</v>
      </c>
      <c r="J1052" s="1791"/>
      <c r="K1052" s="14"/>
      <c r="L1052" s="133"/>
      <c r="M1052" s="133"/>
      <c r="N1052" s="133"/>
      <c r="O1052" s="133"/>
      <c r="P1052" s="133"/>
      <c r="Q1052" s="133"/>
      <c r="R1052" s="133"/>
      <c r="S1052" s="133"/>
      <c r="T1052" s="133"/>
      <c r="U1052" s="133"/>
      <c r="V1052" s="134" t="s">
        <v>973</v>
      </c>
      <c r="X1052" s="1788">
        <f>CM753</f>
        <v>31</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 customHeight="1">
      <c r="A1053" s="14"/>
      <c r="B1053" s="102"/>
      <c r="C1053" s="103"/>
      <c r="D1053" s="1786" t="s">
        <v>512</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125916954.98000002</v>
      </c>
      <c r="AK1053" s="1802"/>
      <c r="AL1053" s="1802"/>
      <c r="AM1053" s="1802"/>
      <c r="AN1053" s="1802"/>
      <c r="AO1053" s="1802"/>
      <c r="AP1053" s="1802"/>
      <c r="AQ1053" s="1803"/>
      <c r="AR1053" s="68"/>
      <c r="AS1053" s="68"/>
      <c r="AT1053" s="68"/>
      <c r="AU1053" s="68"/>
      <c r="AV1053" s="68"/>
      <c r="AW1053" s="68"/>
      <c r="AX1053" s="68"/>
      <c r="AY1053" s="68"/>
      <c r="AZ1053" s="1181">
        <v>6000000</v>
      </c>
      <c r="BA1053" s="3" t="s">
        <v>2486</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81363390</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10612420.5</v>
      </c>
      <c r="BB1056" s="3" t="s">
        <v>2488</v>
      </c>
      <c r="BC1056" s="3"/>
      <c r="BD1056" s="3"/>
    </row>
    <row r="1057" spans="1:54" ht="12.9"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0.89826942171076007</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10613920</v>
      </c>
      <c r="BB1058" s="3" t="s">
        <v>2494</v>
      </c>
    </row>
    <row r="1059" spans="1:54" ht="12.9"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8113920</v>
      </c>
      <c r="BB1059" s="3" t="s">
        <v>2495</v>
      </c>
    </row>
    <row r="1060" spans="1:54" ht="12.9"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 customHeight="1">
      <c r="A1061" s="1839" t="s">
        <v>793</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5" t="s">
        <v>544</v>
      </c>
      <c r="B1065" s="1415"/>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5" t="s">
        <v>590</v>
      </c>
      <c r="B1067" s="1415"/>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5" t="s">
        <v>590</v>
      </c>
      <c r="B1070" s="1415"/>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5" t="s">
        <v>590</v>
      </c>
      <c r="B1075" s="1415"/>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5" t="s">
        <v>590</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5" t="s">
        <v>590</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5" t="s">
        <v>590</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5" t="s">
        <v>590</v>
      </c>
      <c r="B1094" s="1415"/>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5" t="s">
        <v>590</v>
      </c>
      <c r="B1097" s="1415"/>
      <c r="C1097" s="1858">
        <v>9</v>
      </c>
      <c r="D1097" s="1858"/>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5" t="s">
        <v>590</v>
      </c>
      <c r="B1100" s="1415"/>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5" t="s">
        <v>590</v>
      </c>
      <c r="B1103" s="1415"/>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590</v>
      </c>
      <c r="B1125" s="1415"/>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 hidden="1" customHeight="1"/>
  </sheetData>
  <sheetProtection algorithmName="SHA-512" hashValue="bfx3WYFgkAq6PeYe3yYR+hnyYaNUUqh51dtypXR7ghZprcsS3EhA3i35kXuttFOZ9DiNs0ZlnF28P3RvmY4guQ==" saltValue="uIvG6Aw3idkO1TNEIQqRh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8" zoomScaleNormal="100" workbookViewId="0">
      <selection activeCell="S107" activeCellId="1" sqref="R4 S107"/>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548</v>
      </c>
      <c r="B1" s="125"/>
      <c r="C1" s="125"/>
      <c r="D1" s="125"/>
      <c r="E1" s="126"/>
      <c r="F1" s="1867" t="s">
        <v>620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1)Citi Community Capital</v>
      </c>
      <c r="G2" s="139" t="str">
        <f>Application!B628&amp;Application!C628</f>
        <v>2)HCD-CDBG-DR MHP</v>
      </c>
      <c r="H2" s="139" t="str">
        <f>Application!B629&amp;Application!C629</f>
        <v>3)Zen Development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7400000</v>
      </c>
      <c r="C4" s="147">
        <v>7400000</v>
      </c>
      <c r="D4" s="147"/>
      <c r="E4" s="147">
        <f>C4-SUM(F4:Q4)</f>
        <v>7400000</v>
      </c>
      <c r="F4" s="147"/>
      <c r="G4" s="147"/>
      <c r="H4" s="147"/>
      <c r="I4" s="147"/>
      <c r="J4" s="147"/>
      <c r="K4" s="147"/>
      <c r="L4" s="147"/>
      <c r="M4" s="147"/>
      <c r="N4" s="147"/>
      <c r="O4" s="147"/>
      <c r="P4" s="147"/>
      <c r="Q4" s="147"/>
      <c r="R4" s="516">
        <f>SUM(E4:Q4)</f>
        <v>7400000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7400000</v>
      </c>
      <c r="C8" s="146">
        <f t="shared" ref="C8:Q8" si="0">SUM(C4:C7)</f>
        <v>7400000</v>
      </c>
      <c r="D8" s="146">
        <f t="shared" si="0"/>
        <v>0</v>
      </c>
      <c r="E8" s="146">
        <f t="shared" si="0"/>
        <v>7400000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7400000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7400000</v>
      </c>
      <c r="C12" s="146">
        <f t="shared" si="2"/>
        <v>7400000</v>
      </c>
      <c r="D12" s="146">
        <f t="shared" si="2"/>
        <v>0</v>
      </c>
      <c r="E12" s="146">
        <f t="shared" si="2"/>
        <v>7400000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7400000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4261306</v>
      </c>
      <c r="C29" s="147">
        <v>4261306</v>
      </c>
      <c r="D29" s="147"/>
      <c r="E29" s="147"/>
      <c r="F29" s="147">
        <f>C29</f>
        <v>4261306</v>
      </c>
      <c r="G29" s="147"/>
      <c r="H29" s="147"/>
      <c r="I29" s="147"/>
      <c r="J29" s="147"/>
      <c r="K29" s="147"/>
      <c r="L29" s="147"/>
      <c r="M29" s="147"/>
      <c r="N29" s="147"/>
      <c r="O29" s="147"/>
      <c r="P29" s="147"/>
      <c r="Q29" s="147"/>
      <c r="R29" s="516">
        <f t="shared" ref="R29:R37" si="7">SUM(E29:Q29)</f>
        <v>4261306</v>
      </c>
      <c r="S29" s="147">
        <f>B29</f>
        <v>4261306</v>
      </c>
      <c r="T29" s="147"/>
      <c r="U29" s="143"/>
    </row>
    <row r="30" spans="1:21" s="144" customFormat="1">
      <c r="A30" s="145" t="s">
        <v>598</v>
      </c>
      <c r="B30" s="146">
        <f t="shared" si="6"/>
        <v>43198917</v>
      </c>
      <c r="C30" s="147">
        <f>38518783+1500000+3180134</f>
        <v>43198917</v>
      </c>
      <c r="D30" s="147"/>
      <c r="E30" s="147"/>
      <c r="F30" s="147">
        <f>C30-G30</f>
        <v>16418486</v>
      </c>
      <c r="G30" s="147">
        <f>G108</f>
        <v>26780431</v>
      </c>
      <c r="H30" s="147"/>
      <c r="I30" s="147"/>
      <c r="J30" s="147"/>
      <c r="K30" s="147"/>
      <c r="L30" s="147"/>
      <c r="M30" s="147"/>
      <c r="N30" s="147"/>
      <c r="O30" s="147"/>
      <c r="P30" s="147"/>
      <c r="Q30" s="147"/>
      <c r="R30" s="516">
        <f t="shared" si="7"/>
        <v>43198917</v>
      </c>
      <c r="S30" s="147">
        <f>B30</f>
        <v>43198917</v>
      </c>
      <c r="T30" s="147"/>
      <c r="U30" s="143"/>
    </row>
    <row r="31" spans="1:21" s="144" customFormat="1">
      <c r="A31" s="145" t="s">
        <v>599</v>
      </c>
      <c r="B31" s="146">
        <f t="shared" si="6"/>
        <v>3640443</v>
      </c>
      <c r="C31" s="147">
        <v>3640443</v>
      </c>
      <c r="D31" s="147"/>
      <c r="E31" s="147">
        <f t="shared" ref="E31:E36" si="8">C31-SUM(F31:Q31)</f>
        <v>3490399</v>
      </c>
      <c r="F31" s="147">
        <f>F108-F29-F30</f>
        <v>150044</v>
      </c>
      <c r="G31" s="147"/>
      <c r="H31" s="147"/>
      <c r="I31" s="147"/>
      <c r="J31" s="147"/>
      <c r="K31" s="147"/>
      <c r="L31" s="147"/>
      <c r="M31" s="147"/>
      <c r="N31" s="147"/>
      <c r="O31" s="147"/>
      <c r="P31" s="147"/>
      <c r="Q31" s="147"/>
      <c r="R31" s="516">
        <f t="shared" si="7"/>
        <v>3640443</v>
      </c>
      <c r="S31" s="147">
        <f>B31</f>
        <v>3640443</v>
      </c>
      <c r="T31" s="147"/>
      <c r="U31" s="143"/>
    </row>
    <row r="32" spans="1:21" s="144" customFormat="1">
      <c r="A32" s="145" t="s">
        <v>137</v>
      </c>
      <c r="B32" s="146">
        <f t="shared" si="6"/>
        <v>930123</v>
      </c>
      <c r="C32" s="147">
        <f>1860246/2</f>
        <v>930123</v>
      </c>
      <c r="D32" s="147"/>
      <c r="E32" s="147">
        <f t="shared" si="8"/>
        <v>930123</v>
      </c>
      <c r="F32" s="147"/>
      <c r="G32" s="147"/>
      <c r="H32" s="147"/>
      <c r="I32" s="147"/>
      <c r="J32" s="147"/>
      <c r="K32" s="147"/>
      <c r="L32" s="147"/>
      <c r="M32" s="147"/>
      <c r="N32" s="147"/>
      <c r="O32" s="147"/>
      <c r="P32" s="147"/>
      <c r="Q32" s="147"/>
      <c r="R32" s="516">
        <f t="shared" si="7"/>
        <v>930123</v>
      </c>
      <c r="S32" s="147">
        <f>B32</f>
        <v>930123</v>
      </c>
      <c r="T32" s="147"/>
      <c r="U32" s="143"/>
    </row>
    <row r="33" spans="1:21" s="144" customFormat="1">
      <c r="A33" s="145" t="s">
        <v>138</v>
      </c>
      <c r="B33" s="146">
        <f t="shared" si="6"/>
        <v>930123</v>
      </c>
      <c r="C33" s="147">
        <f>1860246-C32</f>
        <v>930123</v>
      </c>
      <c r="D33" s="147"/>
      <c r="E33" s="147">
        <f t="shared" si="8"/>
        <v>930123</v>
      </c>
      <c r="F33" s="147"/>
      <c r="G33" s="147"/>
      <c r="H33" s="147"/>
      <c r="I33" s="147"/>
      <c r="J33" s="147"/>
      <c r="K33" s="147"/>
      <c r="L33" s="147"/>
      <c r="M33" s="147"/>
      <c r="N33" s="147"/>
      <c r="O33" s="147"/>
      <c r="P33" s="147"/>
      <c r="Q33" s="147"/>
      <c r="R33" s="516">
        <f t="shared" si="7"/>
        <v>930123</v>
      </c>
      <c r="S33" s="147">
        <f>B33</f>
        <v>930123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1123647</v>
      </c>
      <c r="C35" s="147">
        <v>1123647</v>
      </c>
      <c r="D35" s="147"/>
      <c r="E35" s="147">
        <f t="shared" si="8"/>
        <v>1123647</v>
      </c>
      <c r="F35" s="147"/>
      <c r="G35" s="147"/>
      <c r="H35" s="147"/>
      <c r="I35" s="147"/>
      <c r="J35" s="147"/>
      <c r="K35" s="147"/>
      <c r="L35" s="147"/>
      <c r="M35" s="147"/>
      <c r="N35" s="147"/>
      <c r="O35" s="147"/>
      <c r="P35" s="147"/>
      <c r="Q35" s="147"/>
      <c r="R35" s="516">
        <f t="shared" si="7"/>
        <v>1123647</v>
      </c>
      <c r="S35" s="147">
        <f>B35</f>
        <v>1123647</v>
      </c>
      <c r="T35" s="147"/>
      <c r="U35" s="143"/>
    </row>
    <row r="36" spans="1:21" s="144" customFormat="1">
      <c r="A36" s="283" t="s">
        <v>1639</v>
      </c>
      <c r="B36" s="146">
        <f t="shared" si="6"/>
        <v>300000</v>
      </c>
      <c r="C36" s="147">
        <v>300000</v>
      </c>
      <c r="D36" s="147"/>
      <c r="E36" s="147">
        <f t="shared" si="8"/>
        <v>300000</v>
      </c>
      <c r="F36" s="147"/>
      <c r="G36" s="147"/>
      <c r="H36" s="147"/>
      <c r="I36" s="147"/>
      <c r="J36" s="147"/>
      <c r="K36" s="147"/>
      <c r="L36" s="147"/>
      <c r="M36" s="147"/>
      <c r="N36" s="147"/>
      <c r="O36" s="147"/>
      <c r="P36" s="147"/>
      <c r="Q36" s="147"/>
      <c r="R36" s="516">
        <f t="shared" si="7"/>
        <v>300000</v>
      </c>
      <c r="S36" s="147">
        <f>B36</f>
        <v>300000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54384559</v>
      </c>
      <c r="C38" s="146">
        <f>SUM(C29:C37)</f>
        <v>54384559</v>
      </c>
      <c r="D38" s="146">
        <f t="shared" ref="D38:Q38" si="9">SUM(D29:D37)</f>
        <v>0</v>
      </c>
      <c r="E38" s="146">
        <f t="shared" si="9"/>
        <v>6774292</v>
      </c>
      <c r="F38" s="146">
        <f t="shared" si="9"/>
        <v>20829836</v>
      </c>
      <c r="G38" s="146">
        <f t="shared" si="9"/>
        <v>26780431</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54384559</v>
      </c>
      <c r="S38" s="150">
        <f>SUM(S29:S37)</f>
        <v>54384559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766889</v>
      </c>
      <c r="C40" s="147">
        <f>1533778/2</f>
        <v>766889</v>
      </c>
      <c r="D40" s="147"/>
      <c r="E40" s="147">
        <f t="shared" ref="E40:E41" si="10">C40-SUM(F40:Q40)</f>
        <v>766889</v>
      </c>
      <c r="F40" s="147"/>
      <c r="G40" s="147"/>
      <c r="H40" s="147"/>
      <c r="I40" s="147"/>
      <c r="J40" s="147"/>
      <c r="K40" s="147"/>
      <c r="L40" s="147"/>
      <c r="M40" s="147"/>
      <c r="N40" s="147"/>
      <c r="O40" s="147"/>
      <c r="P40" s="147"/>
      <c r="Q40" s="147"/>
      <c r="R40" s="516">
        <f>SUM(E40:Q40)</f>
        <v>766889</v>
      </c>
      <c r="S40" s="147">
        <f>C40</f>
        <v>766889</v>
      </c>
      <c r="T40" s="147"/>
      <c r="U40" s="143"/>
    </row>
    <row r="41" spans="1:21" s="144" customFormat="1">
      <c r="A41" s="145" t="s">
        <v>146</v>
      </c>
      <c r="B41" s="146">
        <f>SUM(C41+D41)</f>
        <v>766889</v>
      </c>
      <c r="C41" s="147">
        <f>1533778-C40</f>
        <v>766889</v>
      </c>
      <c r="D41" s="147"/>
      <c r="E41" s="147">
        <f t="shared" si="10"/>
        <v>766889</v>
      </c>
      <c r="F41" s="147"/>
      <c r="G41" s="147"/>
      <c r="H41" s="147"/>
      <c r="I41" s="147"/>
      <c r="J41" s="147"/>
      <c r="K41" s="147"/>
      <c r="L41" s="147"/>
      <c r="M41" s="147"/>
      <c r="N41" s="147"/>
      <c r="O41" s="147"/>
      <c r="P41" s="147"/>
      <c r="Q41" s="147"/>
      <c r="R41" s="516">
        <f>SUM(E41:Q41)</f>
        <v>766889</v>
      </c>
      <c r="S41" s="147">
        <f>C41</f>
        <v>766889</v>
      </c>
      <c r="T41" s="147"/>
      <c r="U41" s="143"/>
    </row>
    <row r="42" spans="1:21" s="144" customFormat="1" ht="12">
      <c r="A42" s="149" t="s">
        <v>147</v>
      </c>
      <c r="B42" s="146">
        <f>SUM(C42:D42)</f>
        <v>1533778</v>
      </c>
      <c r="C42" s="146">
        <f>SUM(C39:C41)</f>
        <v>1533778</v>
      </c>
      <c r="D42" s="146">
        <f>SUM(D39:D41)</f>
        <v>0</v>
      </c>
      <c r="E42" s="146">
        <f t="shared" ref="E42:T42" si="11">SUM(E40:E41)</f>
        <v>1533778</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1533778</v>
      </c>
      <c r="S42" s="150">
        <f t="shared" si="11"/>
        <v>1533778</v>
      </c>
      <c r="T42" s="150">
        <f t="shared" si="11"/>
        <v>0</v>
      </c>
      <c r="U42" s="143"/>
    </row>
    <row r="43" spans="1:21" s="144" customFormat="1" ht="12">
      <c r="A43" s="149" t="s">
        <v>148</v>
      </c>
      <c r="B43" s="146">
        <f>SUM(C43:D43)</f>
        <v>400000</v>
      </c>
      <c r="C43" s="147">
        <f>350000+50000</f>
        <v>400000</v>
      </c>
      <c r="D43" s="147"/>
      <c r="E43" s="147">
        <f t="shared" ref="E43" si="12">C43-SUM(F43:Q43)</f>
        <v>400000</v>
      </c>
      <c r="F43" s="147"/>
      <c r="G43" s="147"/>
      <c r="H43" s="147"/>
      <c r="I43" s="147"/>
      <c r="J43" s="147"/>
      <c r="K43" s="147"/>
      <c r="L43" s="147"/>
      <c r="M43" s="147"/>
      <c r="N43" s="147"/>
      <c r="O43" s="147"/>
      <c r="P43" s="147"/>
      <c r="Q43" s="147"/>
      <c r="R43" s="516">
        <f>SUM(E43:Q43)</f>
        <v>400000</v>
      </c>
      <c r="S43" s="147">
        <f>C43</f>
        <v>400000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6716105</v>
      </c>
      <c r="C45" s="147">
        <f>210000+6456105+50000</f>
        <v>6716105</v>
      </c>
      <c r="D45" s="147"/>
      <c r="E45" s="147">
        <f t="shared" ref="E45:E52" si="14">C45-SUM(F45:Q45)</f>
        <v>6716105</v>
      </c>
      <c r="F45" s="147"/>
      <c r="G45" s="147"/>
      <c r="H45" s="147"/>
      <c r="I45" s="147"/>
      <c r="J45" s="147"/>
      <c r="K45" s="147"/>
      <c r="L45" s="147"/>
      <c r="M45" s="147"/>
      <c r="N45" s="147"/>
      <c r="O45" s="147"/>
      <c r="P45" s="147"/>
      <c r="Q45" s="147"/>
      <c r="R45" s="516">
        <f t="shared" ref="R45:R53" si="15">SUM(E45:Q45)</f>
        <v>6716105</v>
      </c>
      <c r="S45" s="147">
        <f>3762497+1</f>
        <v>3762498</v>
      </c>
      <c r="T45" s="147"/>
      <c r="U45" s="143"/>
    </row>
    <row r="46" spans="1:21" s="144" customFormat="1">
      <c r="A46" s="145" t="s">
        <v>151</v>
      </c>
      <c r="B46" s="146">
        <f t="shared" si="13"/>
        <v>602271</v>
      </c>
      <c r="C46" s="147">
        <v>602271</v>
      </c>
      <c r="D46" s="147"/>
      <c r="E46" s="147">
        <f t="shared" si="14"/>
        <v>602271</v>
      </c>
      <c r="F46" s="147"/>
      <c r="G46" s="147"/>
      <c r="H46" s="147"/>
      <c r="I46" s="147"/>
      <c r="J46" s="147"/>
      <c r="K46" s="147"/>
      <c r="L46" s="147"/>
      <c r="M46" s="147"/>
      <c r="N46" s="147"/>
      <c r="O46" s="147"/>
      <c r="P46" s="147"/>
      <c r="Q46" s="147"/>
      <c r="R46" s="516">
        <f t="shared" si="15"/>
        <v>602271</v>
      </c>
      <c r="S46" s="147">
        <v>350993</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3"/>
        <v>512256</v>
      </c>
      <c r="C48" s="147">
        <v>512256</v>
      </c>
      <c r="D48" s="147"/>
      <c r="E48" s="147">
        <f t="shared" si="14"/>
        <v>512256</v>
      </c>
      <c r="F48" s="147"/>
      <c r="G48" s="147"/>
      <c r="H48" s="147"/>
      <c r="I48" s="147"/>
      <c r="J48" s="147"/>
      <c r="K48" s="147"/>
      <c r="L48" s="147"/>
      <c r="M48" s="147"/>
      <c r="N48" s="147"/>
      <c r="O48" s="147"/>
      <c r="P48" s="147"/>
      <c r="Q48" s="147"/>
      <c r="R48" s="516">
        <f t="shared" si="15"/>
        <v>512256</v>
      </c>
      <c r="S48" s="147">
        <f>B48</f>
        <v>512256</v>
      </c>
      <c r="T48" s="147"/>
      <c r="U48" s="143"/>
    </row>
    <row r="49" spans="1:21" s="144" customFormat="1">
      <c r="A49" s="145" t="s">
        <v>57</v>
      </c>
      <c r="B49" s="146">
        <f t="shared" si="13"/>
        <v>321300</v>
      </c>
      <c r="C49" s="147">
        <v>321300</v>
      </c>
      <c r="D49" s="147"/>
      <c r="E49" s="147">
        <f t="shared" si="14"/>
        <v>321300</v>
      </c>
      <c r="F49" s="147"/>
      <c r="G49" s="147"/>
      <c r="H49" s="147"/>
      <c r="I49" s="147"/>
      <c r="J49" s="147"/>
      <c r="K49" s="147"/>
      <c r="L49" s="147"/>
      <c r="M49" s="147"/>
      <c r="N49" s="147"/>
      <c r="O49" s="147"/>
      <c r="P49" s="147"/>
      <c r="Q49" s="147"/>
      <c r="R49" s="516">
        <f t="shared" si="15"/>
        <v>321300</v>
      </c>
      <c r="S49" s="147"/>
      <c r="T49" s="147"/>
      <c r="U49" s="143"/>
    </row>
    <row r="50" spans="1:21" s="144" customFormat="1">
      <c r="A50" s="145" t="s">
        <v>156</v>
      </c>
      <c r="B50" s="146">
        <f t="shared" si="13"/>
        <v>60000</v>
      </c>
      <c r="C50" s="147">
        <v>60000</v>
      </c>
      <c r="D50" s="147"/>
      <c r="E50" s="147">
        <f t="shared" si="14"/>
        <v>60000</v>
      </c>
      <c r="F50" s="147"/>
      <c r="G50" s="147"/>
      <c r="H50" s="147"/>
      <c r="I50" s="147"/>
      <c r="J50" s="147"/>
      <c r="K50" s="147"/>
      <c r="L50" s="147"/>
      <c r="M50" s="147"/>
      <c r="N50" s="147"/>
      <c r="O50" s="147"/>
      <c r="P50" s="147"/>
      <c r="Q50" s="147"/>
      <c r="R50" s="516">
        <f t="shared" si="15"/>
        <v>60000</v>
      </c>
      <c r="S50" s="147">
        <v>30000</v>
      </c>
      <c r="T50" s="147"/>
      <c r="U50" s="143"/>
    </row>
    <row r="51" spans="1:21" s="144" customFormat="1">
      <c r="A51" s="283" t="s">
        <v>154</v>
      </c>
      <c r="B51" s="146">
        <f t="shared" si="13"/>
        <v>175208</v>
      </c>
      <c r="C51" s="147">
        <f>20000+155208</f>
        <v>175208</v>
      </c>
      <c r="D51" s="147"/>
      <c r="E51" s="147">
        <f t="shared" si="14"/>
        <v>175208</v>
      </c>
      <c r="F51" s="147"/>
      <c r="G51" s="147"/>
      <c r="H51" s="147"/>
      <c r="I51" s="147"/>
      <c r="J51" s="147"/>
      <c r="K51" s="147"/>
      <c r="L51" s="147"/>
      <c r="M51" s="147"/>
      <c r="N51" s="147"/>
      <c r="O51" s="147"/>
      <c r="P51" s="147"/>
      <c r="Q51" s="147"/>
      <c r="R51" s="516">
        <f t="shared" si="15"/>
        <v>175208</v>
      </c>
      <c r="S51" s="147"/>
      <c r="T51" s="147"/>
      <c r="U51" s="143"/>
    </row>
    <row r="52" spans="1:21" s="144" customFormat="1">
      <c r="A52" s="145" t="s">
        <v>155</v>
      </c>
      <c r="B52" s="146">
        <f t="shared" si="13"/>
        <v>2186401</v>
      </c>
      <c r="C52" s="147">
        <f>557046+707294+922061</f>
        <v>2186401</v>
      </c>
      <c r="D52" s="147"/>
      <c r="E52" s="147">
        <f t="shared" si="14"/>
        <v>2186401</v>
      </c>
      <c r="F52" s="147"/>
      <c r="G52" s="147"/>
      <c r="H52" s="147"/>
      <c r="I52" s="147"/>
      <c r="J52" s="147"/>
      <c r="K52" s="147"/>
      <c r="L52" s="147"/>
      <c r="M52" s="147"/>
      <c r="N52" s="147"/>
      <c r="O52" s="147"/>
      <c r="P52" s="147"/>
      <c r="Q52" s="147"/>
      <c r="R52" s="516">
        <f t="shared" si="15"/>
        <v>2186401</v>
      </c>
      <c r="S52" s="147">
        <f>C52</f>
        <v>2186401</v>
      </c>
      <c r="T52" s="147"/>
      <c r="U52" s="143"/>
    </row>
    <row r="53" spans="1:21" s="144" customFormat="1">
      <c r="A53" s="1149" t="s">
        <v>34</v>
      </c>
      <c r="B53" s="146">
        <f t="shared" si="13"/>
        <v>0</v>
      </c>
      <c r="C53" s="147"/>
      <c r="D53" s="147"/>
      <c r="E53" s="147"/>
      <c r="F53" s="147"/>
      <c r="G53" s="147"/>
      <c r="H53" s="147"/>
      <c r="I53" s="147"/>
      <c r="J53" s="147"/>
      <c r="K53" s="147"/>
      <c r="L53" s="147"/>
      <c r="M53" s="147"/>
      <c r="N53" s="147"/>
      <c r="O53" s="147"/>
      <c r="P53" s="147"/>
      <c r="Q53" s="147"/>
      <c r="R53" s="516">
        <f t="shared" si="15"/>
        <v>0</v>
      </c>
      <c r="S53" s="147"/>
      <c r="T53" s="147"/>
      <c r="U53" s="143"/>
    </row>
    <row r="54" spans="1:21" s="153" customFormat="1" ht="12">
      <c r="A54" s="149" t="s">
        <v>157</v>
      </c>
      <c r="B54" s="150">
        <f>SUM(C54:D54)</f>
        <v>10573541</v>
      </c>
      <c r="C54" s="150">
        <f t="shared" ref="C54:T54" si="16">SUM(C45:C53)</f>
        <v>10573541</v>
      </c>
      <c r="D54" s="150">
        <f t="shared" si="16"/>
        <v>0</v>
      </c>
      <c r="E54" s="150">
        <f t="shared" si="16"/>
        <v>10573541</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10573541</v>
      </c>
      <c r="S54" s="150">
        <f t="shared" si="16"/>
        <v>6842148</v>
      </c>
      <c r="T54" s="150">
        <f t="shared" si="1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308298</v>
      </c>
      <c r="C56" s="147">
        <f>208298+100000</f>
        <v>308298</v>
      </c>
      <c r="D56" s="147"/>
      <c r="E56" s="147">
        <f t="shared" ref="E56:E58" si="18">C56-SUM(F56:Q56)</f>
        <v>308298</v>
      </c>
      <c r="F56" s="147"/>
      <c r="G56" s="147"/>
      <c r="H56" s="147"/>
      <c r="I56" s="147"/>
      <c r="J56" s="147"/>
      <c r="K56" s="147"/>
      <c r="L56" s="147"/>
      <c r="M56" s="147"/>
      <c r="N56" s="147"/>
      <c r="O56" s="147"/>
      <c r="P56" s="147"/>
      <c r="Q56" s="147"/>
      <c r="R56" s="516">
        <f t="shared" ref="R56:R61" si="19">SUM(E56:Q56)</f>
        <v>308298</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7"/>
        <v>40000</v>
      </c>
      <c r="C58" s="147">
        <v>40000</v>
      </c>
      <c r="D58" s="147"/>
      <c r="E58" s="147">
        <f t="shared" si="18"/>
        <v>40000</v>
      </c>
      <c r="F58" s="147"/>
      <c r="G58" s="147"/>
      <c r="H58" s="147"/>
      <c r="I58" s="147"/>
      <c r="J58" s="147"/>
      <c r="K58" s="147"/>
      <c r="L58" s="147"/>
      <c r="M58" s="147"/>
      <c r="N58" s="147"/>
      <c r="O58" s="147"/>
      <c r="P58" s="147"/>
      <c r="Q58" s="147"/>
      <c r="R58" s="516">
        <f t="shared" si="19"/>
        <v>40000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34</v>
      </c>
      <c r="B61" s="146">
        <f t="shared" si="17"/>
        <v>0</v>
      </c>
      <c r="C61" s="147"/>
      <c r="D61" s="147"/>
      <c r="E61" s="147"/>
      <c r="F61" s="147"/>
      <c r="G61" s="147"/>
      <c r="H61" s="147"/>
      <c r="I61" s="147"/>
      <c r="J61" s="147"/>
      <c r="K61" s="147"/>
      <c r="L61" s="147"/>
      <c r="M61" s="147"/>
      <c r="N61" s="147"/>
      <c r="O61" s="147"/>
      <c r="P61" s="147"/>
      <c r="Q61" s="147"/>
      <c r="R61" s="516">
        <f t="shared" si="19"/>
        <v>0</v>
      </c>
      <c r="S61" s="148"/>
      <c r="T61" s="148"/>
      <c r="U61" s="143"/>
    </row>
    <row r="62" spans="1:21" s="144" customFormat="1" ht="13.65" customHeight="1">
      <c r="A62" s="149" t="s">
        <v>300</v>
      </c>
      <c r="B62" s="146">
        <f>SUM(C62:D62)</f>
        <v>348298</v>
      </c>
      <c r="C62" s="146">
        <f t="shared" ref="C62:R62" si="20">SUM(C56:C61)</f>
        <v>348298</v>
      </c>
      <c r="D62" s="146">
        <f t="shared" si="20"/>
        <v>0</v>
      </c>
      <c r="E62" s="146">
        <f t="shared" si="20"/>
        <v>348298</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348298</v>
      </c>
      <c r="S62" s="148"/>
      <c r="T62" s="148"/>
      <c r="U62" s="143"/>
    </row>
    <row r="63" spans="1:21" s="144" customFormat="1">
      <c r="A63" s="154" t="s">
        <v>301</v>
      </c>
      <c r="B63" s="146">
        <f t="shared" ref="B63:R63" si="21">SUM(B8+B11+B13+B14+B15+B26+B27+B38+B42+B43+B54+B62)</f>
        <v>74640176</v>
      </c>
      <c r="C63" s="146">
        <f t="shared" si="21"/>
        <v>74640176</v>
      </c>
      <c r="D63" s="146">
        <f t="shared" si="21"/>
        <v>0</v>
      </c>
      <c r="E63" s="146">
        <f t="shared" si="21"/>
        <v>27029909</v>
      </c>
      <c r="F63" s="146">
        <f t="shared" si="21"/>
        <v>20829836</v>
      </c>
      <c r="G63" s="146">
        <f t="shared" si="21"/>
        <v>26780431</v>
      </c>
      <c r="H63" s="146">
        <f t="shared" si="21"/>
        <v>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74640176</v>
      </c>
      <c r="S63" s="146">
        <f>SUM(S10+S13+S14+S15+S26+S27+S38+S42+S43+S54)</f>
        <v>63160485</v>
      </c>
      <c r="T63" s="146">
        <f>SUM(T11+T13+T14+T15+T26+T27+T38+T42+T43+T54)</f>
        <v>0</v>
      </c>
      <c r="U63" s="143"/>
    </row>
    <row r="64" spans="1:21" s="144" customFormat="1" ht="22.8">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360000</v>
      </c>
      <c r="C65" s="147">
        <v>360000</v>
      </c>
      <c r="D65" s="147"/>
      <c r="E65" s="147">
        <f t="shared" ref="E65:E66" si="22">C65-SUM(F65:Q65)</f>
        <v>360000</v>
      </c>
      <c r="F65" s="147"/>
      <c r="G65" s="147"/>
      <c r="H65" s="147"/>
      <c r="I65" s="147"/>
      <c r="J65" s="147"/>
      <c r="K65" s="147"/>
      <c r="L65" s="147"/>
      <c r="M65" s="147"/>
      <c r="N65" s="147"/>
      <c r="O65" s="147"/>
      <c r="P65" s="147"/>
      <c r="Q65" s="147"/>
      <c r="R65" s="516">
        <f>SUM(E65:Q65)</f>
        <v>360000</v>
      </c>
      <c r="S65" s="147">
        <f>95000+58278</f>
        <v>153278</v>
      </c>
      <c r="T65" s="147"/>
      <c r="U65" s="143"/>
    </row>
    <row r="66" spans="1:21" s="144" customFormat="1" ht="24" customHeight="1">
      <c r="A66" s="283" t="s">
        <v>1640</v>
      </c>
      <c r="B66" s="146">
        <f>SUM(C66+D66)</f>
        <v>300000</v>
      </c>
      <c r="C66" s="147">
        <v>300000</v>
      </c>
      <c r="D66" s="147"/>
      <c r="E66" s="147">
        <f t="shared" si="22"/>
        <v>300000</v>
      </c>
      <c r="F66" s="147"/>
      <c r="G66" s="147"/>
      <c r="H66" s="147"/>
      <c r="I66" s="147"/>
      <c r="J66" s="147"/>
      <c r="K66" s="147"/>
      <c r="L66" s="147"/>
      <c r="M66" s="147"/>
      <c r="N66" s="147"/>
      <c r="O66" s="147"/>
      <c r="P66" s="147"/>
      <c r="Q66" s="147"/>
      <c r="R66" s="516">
        <f>SUM(E66:Q66)</f>
        <v>300000</v>
      </c>
      <c r="S66" s="147">
        <f>B66</f>
        <v>300000</v>
      </c>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ht="12">
      <c r="A70" s="149" t="s">
        <v>1644</v>
      </c>
      <c r="B70" s="146">
        <f>SUM(C70:D70)</f>
        <v>660000</v>
      </c>
      <c r="C70" s="146">
        <f>SUM(C65:C69)</f>
        <v>660000</v>
      </c>
      <c r="D70" s="146">
        <f>SUM(D65:D69)</f>
        <v>0</v>
      </c>
      <c r="E70" s="146">
        <f t="shared" ref="E70:T70" si="23">SUM(E65:E69)</f>
        <v>660000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660000</v>
      </c>
      <c r="S70" s="150">
        <f t="shared" si="23"/>
        <v>453278</v>
      </c>
      <c r="T70" s="150">
        <f t="shared" si="23"/>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200000</v>
      </c>
      <c r="C73" s="147">
        <v>200000</v>
      </c>
      <c r="D73" s="147"/>
      <c r="E73" s="147">
        <f t="shared" ref="E73" si="24">C73-SUM(F73:Q73)</f>
        <v>200000</v>
      </c>
      <c r="F73" s="147"/>
      <c r="G73" s="147"/>
      <c r="H73" s="147"/>
      <c r="I73" s="147"/>
      <c r="J73" s="147"/>
      <c r="K73" s="147"/>
      <c r="L73" s="147"/>
      <c r="M73" s="147"/>
      <c r="N73" s="147"/>
      <c r="O73" s="147"/>
      <c r="P73" s="147"/>
      <c r="Q73" s="147"/>
      <c r="R73" s="516">
        <f>SUM(E73:Q73)</f>
        <v>200000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669923</v>
      </c>
      <c r="C75" s="147">
        <v>669923</v>
      </c>
      <c r="D75" s="147"/>
      <c r="E75" s="147">
        <f t="shared" ref="E75:E76" si="25">C75-SUM(F75:Q75)</f>
        <v>669923</v>
      </c>
      <c r="F75" s="147"/>
      <c r="G75" s="147"/>
      <c r="H75" s="147"/>
      <c r="I75" s="147"/>
      <c r="J75" s="147"/>
      <c r="K75" s="147"/>
      <c r="L75" s="147"/>
      <c r="M75" s="147"/>
      <c r="N75" s="147"/>
      <c r="O75" s="147"/>
      <c r="P75" s="147"/>
      <c r="Q75" s="147"/>
      <c r="R75" s="516">
        <f>SUM(E75:Q75)</f>
        <v>669923</v>
      </c>
      <c r="S75" s="148"/>
      <c r="T75" s="148"/>
      <c r="U75" s="143"/>
    </row>
    <row r="76" spans="1:21" s="144" customFormat="1">
      <c r="A76" s="1149" t="s">
        <v>2710</v>
      </c>
      <c r="B76" s="146">
        <f>SUM(C76+D76)</f>
        <v>242570</v>
      </c>
      <c r="C76" s="147">
        <v>242570</v>
      </c>
      <c r="D76" s="147"/>
      <c r="E76" s="147">
        <f t="shared" si="25"/>
        <v>242570</v>
      </c>
      <c r="F76" s="147"/>
      <c r="G76" s="147"/>
      <c r="H76" s="147"/>
      <c r="I76" s="147"/>
      <c r="J76" s="147"/>
      <c r="K76" s="147"/>
      <c r="L76" s="147"/>
      <c r="M76" s="147"/>
      <c r="N76" s="147"/>
      <c r="O76" s="147"/>
      <c r="P76" s="147"/>
      <c r="Q76" s="147"/>
      <c r="R76" s="516">
        <f>SUM(E76:Q76)</f>
        <v>242570</v>
      </c>
      <c r="S76" s="148"/>
      <c r="T76" s="148"/>
      <c r="U76" s="143"/>
    </row>
    <row r="77" spans="1:21" s="144" customFormat="1" ht="12">
      <c r="A77" s="149" t="s">
        <v>605</v>
      </c>
      <c r="B77" s="146">
        <f>SUM(C77:D77)</f>
        <v>1112493</v>
      </c>
      <c r="C77" s="146">
        <f>SUM(C72:C76)</f>
        <v>1112493</v>
      </c>
      <c r="D77" s="146">
        <f>SUM(D72:D76)</f>
        <v>0</v>
      </c>
      <c r="E77" s="146">
        <f t="shared" ref="E77:Q77" si="26">SUM(E72:E76)</f>
        <v>1112493</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2">
        <f>SUM(R72:R76)</f>
        <v>1112493</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4253970</v>
      </c>
      <c r="C79" s="147">
        <f>1444852+2809118</f>
        <v>4253970</v>
      </c>
      <c r="D79" s="147"/>
      <c r="E79" s="147">
        <f t="shared" ref="E79:E80" si="27">C79-SUM(F79:Q79)</f>
        <v>4253970</v>
      </c>
      <c r="F79" s="147"/>
      <c r="G79" s="147"/>
      <c r="H79" s="147"/>
      <c r="I79" s="147"/>
      <c r="J79" s="147"/>
      <c r="K79" s="147"/>
      <c r="L79" s="147"/>
      <c r="M79" s="147"/>
      <c r="N79" s="147"/>
      <c r="O79" s="147"/>
      <c r="P79" s="147"/>
      <c r="Q79" s="147"/>
      <c r="R79" s="516">
        <f>SUM(E79:Q79)</f>
        <v>4253970</v>
      </c>
      <c r="S79" s="147">
        <f>C79</f>
        <v>4253970</v>
      </c>
      <c r="T79" s="147"/>
      <c r="U79" s="143"/>
    </row>
    <row r="80" spans="1:21" s="144" customFormat="1">
      <c r="A80" s="283" t="s">
        <v>58</v>
      </c>
      <c r="B80" s="146">
        <f>SUM(C80:D80)</f>
        <v>754352</v>
      </c>
      <c r="C80" s="147">
        <v>754352</v>
      </c>
      <c r="D80" s="147"/>
      <c r="E80" s="147">
        <f t="shared" si="27"/>
        <v>754352</v>
      </c>
      <c r="F80" s="147"/>
      <c r="G80" s="147"/>
      <c r="H80" s="147"/>
      <c r="I80" s="147"/>
      <c r="J80" s="147"/>
      <c r="K80" s="147"/>
      <c r="L80" s="147"/>
      <c r="M80" s="147"/>
      <c r="N80" s="147"/>
      <c r="O80" s="147"/>
      <c r="P80" s="147"/>
      <c r="Q80" s="147"/>
      <c r="R80" s="516">
        <f>SUM(E80:Q80)</f>
        <v>754352</v>
      </c>
      <c r="S80" s="147">
        <f>377176</f>
        <v>377176</v>
      </c>
      <c r="T80" s="147"/>
      <c r="U80" s="143"/>
    </row>
    <row r="81" spans="1:21" s="144" customFormat="1" ht="12">
      <c r="A81" s="149" t="s">
        <v>1208</v>
      </c>
      <c r="B81" s="146">
        <f>SUM(C81:D81)</f>
        <v>5008322</v>
      </c>
      <c r="C81" s="509">
        <f>SUM(C79:C80)</f>
        <v>5008322</v>
      </c>
      <c r="D81" s="509">
        <f t="shared" ref="D81:T81" si="28">SUM(D79:D80)</f>
        <v>0</v>
      </c>
      <c r="E81" s="509">
        <f t="shared" si="28"/>
        <v>5008322</v>
      </c>
      <c r="F81" s="509">
        <f t="shared" si="28"/>
        <v>0</v>
      </c>
      <c r="G81" s="509">
        <f t="shared" si="28"/>
        <v>0</v>
      </c>
      <c r="H81" s="509">
        <f t="shared" si="28"/>
        <v>0</v>
      </c>
      <c r="I81" s="509">
        <f t="shared" si="28"/>
        <v>0</v>
      </c>
      <c r="J81" s="509">
        <f t="shared" si="28"/>
        <v>0</v>
      </c>
      <c r="K81" s="509">
        <f t="shared" si="28"/>
        <v>0</v>
      </c>
      <c r="L81" s="509">
        <f t="shared" si="28"/>
        <v>0</v>
      </c>
      <c r="M81" s="509">
        <f t="shared" si="28"/>
        <v>0</v>
      </c>
      <c r="N81" s="509">
        <f t="shared" si="28"/>
        <v>0</v>
      </c>
      <c r="O81" s="509">
        <f t="shared" si="28"/>
        <v>0</v>
      </c>
      <c r="P81" s="509">
        <f t="shared" si="28"/>
        <v>0</v>
      </c>
      <c r="Q81" s="509">
        <f t="shared" si="28"/>
        <v>0</v>
      </c>
      <c r="R81" s="509">
        <f t="shared" si="28"/>
        <v>5008322</v>
      </c>
      <c r="S81" s="509">
        <f t="shared" si="28"/>
        <v>4631146</v>
      </c>
      <c r="T81" s="509">
        <f t="shared" si="28"/>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2094</v>
      </c>
      <c r="B83" s="146">
        <f t="shared" ref="B83:B95" si="29">SUM(C83+D83)</f>
        <v>122591</v>
      </c>
      <c r="C83" s="147">
        <v>122591</v>
      </c>
      <c r="D83" s="147"/>
      <c r="E83" s="147">
        <f t="shared" ref="E83" si="30">C83-SUM(F83:Q83)</f>
        <v>122591</v>
      </c>
      <c r="F83" s="147"/>
      <c r="G83" s="147"/>
      <c r="H83" s="147"/>
      <c r="I83" s="147"/>
      <c r="J83" s="147"/>
      <c r="K83" s="147"/>
      <c r="L83" s="147"/>
      <c r="M83" s="147"/>
      <c r="N83" s="147"/>
      <c r="O83" s="147"/>
      <c r="P83" s="147"/>
      <c r="Q83" s="147"/>
      <c r="R83" s="516">
        <f t="shared" ref="R83:R95" si="31">SUM(E83:Q83)</f>
        <v>122591</v>
      </c>
      <c r="S83" s="148"/>
      <c r="T83" s="148"/>
      <c r="U83" s="143"/>
    </row>
    <row r="84" spans="1:21" s="144" customFormat="1">
      <c r="A84" s="145" t="s">
        <v>766</v>
      </c>
      <c r="B84" s="146">
        <f t="shared" si="29"/>
        <v>0</v>
      </c>
      <c r="C84" s="147"/>
      <c r="D84" s="147"/>
      <c r="E84" s="147"/>
      <c r="F84" s="147"/>
      <c r="G84" s="147"/>
      <c r="H84" s="147"/>
      <c r="I84" s="147"/>
      <c r="J84" s="147"/>
      <c r="K84" s="147"/>
      <c r="L84" s="147"/>
      <c r="M84" s="147"/>
      <c r="N84" s="147"/>
      <c r="O84" s="147"/>
      <c r="P84" s="147"/>
      <c r="Q84" s="147"/>
      <c r="R84" s="516">
        <f t="shared" si="31"/>
        <v>0</v>
      </c>
      <c r="S84" s="147"/>
      <c r="T84" s="147"/>
      <c r="U84" s="143"/>
    </row>
    <row r="85" spans="1:21" s="144" customFormat="1">
      <c r="A85" s="145" t="s">
        <v>767</v>
      </c>
      <c r="B85" s="146">
        <f t="shared" si="29"/>
        <v>1355001</v>
      </c>
      <c r="C85" s="147">
        <f>285000+582085+241221+246695</f>
        <v>1355001</v>
      </c>
      <c r="D85" s="147"/>
      <c r="E85" s="147">
        <f t="shared" ref="E85:E86" si="32">C85-SUM(F85:Q85)</f>
        <v>1355001</v>
      </c>
      <c r="F85" s="147"/>
      <c r="G85" s="147"/>
      <c r="H85" s="147"/>
      <c r="I85" s="147"/>
      <c r="J85" s="147"/>
      <c r="K85" s="147"/>
      <c r="L85" s="147"/>
      <c r="M85" s="147"/>
      <c r="N85" s="147"/>
      <c r="O85" s="147"/>
      <c r="P85" s="147"/>
      <c r="Q85" s="147"/>
      <c r="R85" s="516">
        <f t="shared" si="31"/>
        <v>1355001</v>
      </c>
      <c r="S85" s="147">
        <v>1355001</v>
      </c>
      <c r="T85" s="147"/>
      <c r="U85" s="143"/>
    </row>
    <row r="86" spans="1:21" s="144" customFormat="1">
      <c r="A86" s="145" t="s">
        <v>768</v>
      </c>
      <c r="B86" s="146">
        <f t="shared" si="29"/>
        <v>289560</v>
      </c>
      <c r="C86" s="147">
        <v>289560</v>
      </c>
      <c r="D86" s="147"/>
      <c r="E86" s="147">
        <f t="shared" si="32"/>
        <v>289560</v>
      </c>
      <c r="F86" s="147"/>
      <c r="G86" s="147"/>
      <c r="H86" s="147"/>
      <c r="I86" s="147"/>
      <c r="J86" s="147"/>
      <c r="K86" s="147"/>
      <c r="L86" s="147"/>
      <c r="M86" s="147"/>
      <c r="N86" s="147"/>
      <c r="O86" s="147"/>
      <c r="P86" s="147"/>
      <c r="Q86" s="147"/>
      <c r="R86" s="516">
        <f t="shared" si="31"/>
        <v>289560</v>
      </c>
      <c r="S86" s="147">
        <f>C86</f>
        <v>289560</v>
      </c>
      <c r="T86" s="147"/>
      <c r="U86" s="143"/>
    </row>
    <row r="87" spans="1:21" s="144" customFormat="1">
      <c r="A87" s="145" t="s">
        <v>769</v>
      </c>
      <c r="B87" s="146">
        <f t="shared" si="29"/>
        <v>0</v>
      </c>
      <c r="C87" s="147"/>
      <c r="D87" s="147"/>
      <c r="E87" s="147"/>
      <c r="F87" s="147"/>
      <c r="G87" s="147"/>
      <c r="H87" s="147"/>
      <c r="I87" s="147"/>
      <c r="J87" s="147"/>
      <c r="K87" s="147"/>
      <c r="L87" s="147"/>
      <c r="M87" s="147"/>
      <c r="N87" s="147"/>
      <c r="O87" s="147"/>
      <c r="P87" s="147"/>
      <c r="Q87" s="147"/>
      <c r="R87" s="516">
        <f t="shared" si="31"/>
        <v>0</v>
      </c>
      <c r="S87" s="147"/>
      <c r="T87" s="147"/>
      <c r="U87" s="143"/>
    </row>
    <row r="88" spans="1:21" s="144" customFormat="1">
      <c r="A88" s="145" t="s">
        <v>770</v>
      </c>
      <c r="B88" s="146">
        <f t="shared" si="29"/>
        <v>180000</v>
      </c>
      <c r="C88" s="147">
        <v>180000</v>
      </c>
      <c r="D88" s="147"/>
      <c r="E88" s="147">
        <f t="shared" ref="E88:E93" si="33">C88-SUM(F88:Q88)</f>
        <v>180000</v>
      </c>
      <c r="F88" s="147"/>
      <c r="G88" s="147"/>
      <c r="H88" s="147"/>
      <c r="I88" s="147"/>
      <c r="J88" s="147"/>
      <c r="K88" s="147"/>
      <c r="L88" s="147"/>
      <c r="M88" s="147"/>
      <c r="N88" s="147"/>
      <c r="O88" s="147"/>
      <c r="P88" s="147"/>
      <c r="Q88" s="147"/>
      <c r="R88" s="516">
        <f t="shared" si="31"/>
        <v>180000</v>
      </c>
      <c r="S88" s="148"/>
      <c r="T88" s="148"/>
      <c r="U88" s="143"/>
    </row>
    <row r="89" spans="1:21" s="144" customFormat="1">
      <c r="A89" s="145" t="s">
        <v>771</v>
      </c>
      <c r="B89" s="146">
        <f t="shared" si="29"/>
        <v>100000</v>
      </c>
      <c r="C89" s="147">
        <v>100000</v>
      </c>
      <c r="D89" s="147"/>
      <c r="E89" s="147">
        <f t="shared" si="33"/>
        <v>100000</v>
      </c>
      <c r="F89" s="147"/>
      <c r="G89" s="147"/>
      <c r="H89" s="147"/>
      <c r="I89" s="147"/>
      <c r="J89" s="147"/>
      <c r="K89" s="147"/>
      <c r="L89" s="147"/>
      <c r="M89" s="147"/>
      <c r="N89" s="147"/>
      <c r="O89" s="147"/>
      <c r="P89" s="147"/>
      <c r="Q89" s="147"/>
      <c r="R89" s="516">
        <f t="shared" si="31"/>
        <v>100000</v>
      </c>
      <c r="S89" s="147">
        <f>B89</f>
        <v>100000</v>
      </c>
      <c r="T89" s="147"/>
      <c r="U89" s="143"/>
    </row>
    <row r="90" spans="1:21" s="144" customFormat="1">
      <c r="A90" s="145" t="s">
        <v>772</v>
      </c>
      <c r="B90" s="146">
        <f t="shared" si="29"/>
        <v>20000</v>
      </c>
      <c r="C90" s="147">
        <v>20000</v>
      </c>
      <c r="D90" s="147"/>
      <c r="E90" s="147">
        <f t="shared" si="33"/>
        <v>20000</v>
      </c>
      <c r="F90" s="147"/>
      <c r="G90" s="147"/>
      <c r="H90" s="147"/>
      <c r="I90" s="147"/>
      <c r="J90" s="147"/>
      <c r="K90" s="147"/>
      <c r="L90" s="147"/>
      <c r="M90" s="147"/>
      <c r="N90" s="147"/>
      <c r="O90" s="147"/>
      <c r="P90" s="147"/>
      <c r="Q90" s="147"/>
      <c r="R90" s="516">
        <f t="shared" si="31"/>
        <v>20000</v>
      </c>
      <c r="S90" s="147">
        <v>10000</v>
      </c>
      <c r="T90" s="147"/>
      <c r="U90" s="143"/>
    </row>
    <row r="91" spans="1:21" s="144" customFormat="1">
      <c r="A91" s="145" t="s">
        <v>371</v>
      </c>
      <c r="B91" s="146">
        <f t="shared" si="29"/>
        <v>75000</v>
      </c>
      <c r="C91" s="147">
        <v>75000</v>
      </c>
      <c r="D91" s="147"/>
      <c r="E91" s="147">
        <f t="shared" si="33"/>
        <v>75000</v>
      </c>
      <c r="F91" s="147"/>
      <c r="G91" s="147"/>
      <c r="H91" s="147"/>
      <c r="I91" s="147"/>
      <c r="J91" s="147"/>
      <c r="K91" s="147"/>
      <c r="L91" s="147"/>
      <c r="M91" s="147"/>
      <c r="N91" s="147"/>
      <c r="O91" s="147"/>
      <c r="P91" s="147"/>
      <c r="Q91" s="147"/>
      <c r="R91" s="516">
        <f t="shared" si="31"/>
        <v>75000</v>
      </c>
      <c r="S91" s="147">
        <v>75000</v>
      </c>
      <c r="T91" s="147"/>
      <c r="U91" s="143"/>
    </row>
    <row r="92" spans="1:21" s="144" customFormat="1">
      <c r="A92" s="283" t="s">
        <v>1210</v>
      </c>
      <c r="B92" s="146">
        <f t="shared" si="29"/>
        <v>20000</v>
      </c>
      <c r="C92" s="147">
        <v>20000</v>
      </c>
      <c r="D92" s="147"/>
      <c r="E92" s="147">
        <f t="shared" si="33"/>
        <v>20000</v>
      </c>
      <c r="F92" s="147"/>
      <c r="G92" s="147"/>
      <c r="H92" s="147"/>
      <c r="I92" s="147"/>
      <c r="J92" s="147"/>
      <c r="K92" s="147"/>
      <c r="L92" s="147"/>
      <c r="M92" s="147"/>
      <c r="N92" s="147"/>
      <c r="O92" s="147"/>
      <c r="P92" s="147"/>
      <c r="Q92" s="147"/>
      <c r="R92" s="516">
        <f t="shared" si="31"/>
        <v>20000</v>
      </c>
      <c r="S92" s="147"/>
      <c r="T92" s="147"/>
      <c r="U92" s="143"/>
    </row>
    <row r="93" spans="1:21" s="144" customFormat="1">
      <c r="A93" s="1149" t="s">
        <v>2676</v>
      </c>
      <c r="B93" s="146">
        <f t="shared" si="29"/>
        <v>675000</v>
      </c>
      <c r="C93" s="147">
        <v>675000</v>
      </c>
      <c r="D93" s="147"/>
      <c r="E93" s="147">
        <f t="shared" si="33"/>
        <v>675000</v>
      </c>
      <c r="F93" s="147"/>
      <c r="G93" s="147"/>
      <c r="H93" s="147"/>
      <c r="I93" s="147"/>
      <c r="J93" s="147"/>
      <c r="K93" s="147"/>
      <c r="L93" s="147"/>
      <c r="M93" s="147"/>
      <c r="N93" s="147"/>
      <c r="O93" s="147"/>
      <c r="P93" s="147"/>
      <c r="Q93" s="147"/>
      <c r="R93" s="516">
        <f t="shared" si="31"/>
        <v>675000</v>
      </c>
      <c r="S93" s="147">
        <v>675000</v>
      </c>
      <c r="T93" s="147"/>
      <c r="U93" s="143"/>
    </row>
    <row r="94" spans="1:21" s="144" customFormat="1">
      <c r="A94" s="1149" t="s">
        <v>34</v>
      </c>
      <c r="B94" s="146">
        <f t="shared" si="29"/>
        <v>0</v>
      </c>
      <c r="C94" s="147"/>
      <c r="D94" s="147"/>
      <c r="E94" s="147"/>
      <c r="F94" s="147"/>
      <c r="G94" s="147"/>
      <c r="H94" s="147"/>
      <c r="I94" s="147"/>
      <c r="J94" s="147"/>
      <c r="K94" s="147"/>
      <c r="L94" s="147"/>
      <c r="M94" s="147"/>
      <c r="N94" s="147"/>
      <c r="O94" s="147"/>
      <c r="P94" s="147"/>
      <c r="Q94" s="147"/>
      <c r="R94" s="516">
        <f t="shared" si="31"/>
        <v>0</v>
      </c>
      <c r="S94" s="147"/>
      <c r="T94" s="147"/>
      <c r="U94" s="143"/>
    </row>
    <row r="95" spans="1:21" s="144" customFormat="1">
      <c r="A95" s="1149" t="s">
        <v>34</v>
      </c>
      <c r="B95" s="146">
        <f t="shared" si="29"/>
        <v>0</v>
      </c>
      <c r="C95" s="147"/>
      <c r="D95" s="147"/>
      <c r="E95" s="147"/>
      <c r="F95" s="147"/>
      <c r="G95" s="147"/>
      <c r="H95" s="147"/>
      <c r="I95" s="147"/>
      <c r="J95" s="147"/>
      <c r="K95" s="147"/>
      <c r="L95" s="147"/>
      <c r="M95" s="147"/>
      <c r="N95" s="147"/>
      <c r="O95" s="147"/>
      <c r="P95" s="147"/>
      <c r="Q95" s="147"/>
      <c r="R95" s="516">
        <f t="shared" si="31"/>
        <v>0</v>
      </c>
      <c r="S95" s="147"/>
      <c r="T95" s="147"/>
      <c r="U95" s="143"/>
    </row>
    <row r="96" spans="1:21" s="144" customFormat="1" ht="12">
      <c r="A96" s="149" t="s">
        <v>773</v>
      </c>
      <c r="B96" s="146">
        <f>SUM(C96:D96)</f>
        <v>2837152</v>
      </c>
      <c r="C96" s="146">
        <f t="shared" ref="C96:R96" si="34">SUM(C83:C95)</f>
        <v>2837152</v>
      </c>
      <c r="D96" s="146">
        <f t="shared" si="34"/>
        <v>0</v>
      </c>
      <c r="E96" s="146">
        <f t="shared" si="34"/>
        <v>2837152</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2837152</v>
      </c>
      <c r="S96" s="150">
        <f>SUM(S84:S87,S89:S95)</f>
        <v>2504561</v>
      </c>
      <c r="T96" s="146">
        <f>SUM(T84:T87,T89:T95)</f>
        <v>0</v>
      </c>
      <c r="U96" s="143"/>
    </row>
    <row r="97" spans="1:21" s="144" customFormat="1" ht="12">
      <c r="A97" s="149" t="s">
        <v>774</v>
      </c>
      <c r="B97" s="146">
        <f>SUM(C97:D97)</f>
        <v>84258143</v>
      </c>
      <c r="C97" s="146">
        <f t="shared" ref="C97:R97" si="35">SUM(C63+C70+C77+C81+C96)</f>
        <v>84258143</v>
      </c>
      <c r="D97" s="146">
        <f t="shared" si="35"/>
        <v>0</v>
      </c>
      <c r="E97" s="146">
        <f t="shared" si="35"/>
        <v>36647876</v>
      </c>
      <c r="F97" s="146">
        <f t="shared" si="35"/>
        <v>20829836</v>
      </c>
      <c r="G97" s="146">
        <f t="shared" si="35"/>
        <v>26780431</v>
      </c>
      <c r="H97" s="146">
        <f t="shared" si="35"/>
        <v>0</v>
      </c>
      <c r="I97" s="146">
        <f t="shared" si="35"/>
        <v>0</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84258143</v>
      </c>
      <c r="S97" s="146">
        <f>SUM(S63+S70+S81+S96)</f>
        <v>70749470</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10613920</v>
      </c>
      <c r="C99" s="979">
        <v>10613920</v>
      </c>
      <c r="D99" s="979"/>
      <c r="E99" s="979">
        <f t="shared" ref="E99" si="36">C99-SUM(F99:Q99)</f>
        <v>2791368</v>
      </c>
      <c r="F99" s="147"/>
      <c r="G99" s="147"/>
      <c r="H99" s="147">
        <f>H108</f>
        <v>7822552</v>
      </c>
      <c r="I99" s="147"/>
      <c r="J99" s="147"/>
      <c r="K99" s="147"/>
      <c r="L99" s="147"/>
      <c r="M99" s="147"/>
      <c r="N99" s="147"/>
      <c r="O99" s="147"/>
      <c r="P99" s="147"/>
      <c r="Q99" s="147"/>
      <c r="R99" s="516">
        <f>SUM(E99:Q99)</f>
        <v>10613920</v>
      </c>
      <c r="S99" s="147">
        <f>B99</f>
        <v>10613920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778</v>
      </c>
      <c r="B104" s="146">
        <f>SUM(C104:D104)</f>
        <v>10613920</v>
      </c>
      <c r="C104" s="146">
        <f>SUM(C99:C103)</f>
        <v>10613920</v>
      </c>
      <c r="D104" s="146">
        <f t="shared" ref="D104:T104" si="37">SUM(D99:D103)</f>
        <v>0</v>
      </c>
      <c r="E104" s="146">
        <f t="shared" si="37"/>
        <v>2791368</v>
      </c>
      <c r="F104" s="146">
        <f t="shared" si="37"/>
        <v>0</v>
      </c>
      <c r="G104" s="146">
        <f t="shared" si="37"/>
        <v>0</v>
      </c>
      <c r="H104" s="146">
        <f t="shared" si="37"/>
        <v>7822552</v>
      </c>
      <c r="I104" s="146">
        <f t="shared" si="37"/>
        <v>0</v>
      </c>
      <c r="J104" s="146">
        <f t="shared" si="37"/>
        <v>0</v>
      </c>
      <c r="K104" s="146">
        <f t="shared" si="37"/>
        <v>0</v>
      </c>
      <c r="L104" s="146">
        <f t="shared" si="37"/>
        <v>0</v>
      </c>
      <c r="M104" s="146">
        <f t="shared" si="37"/>
        <v>0</v>
      </c>
      <c r="N104" s="146">
        <f t="shared" si="37"/>
        <v>0</v>
      </c>
      <c r="O104" s="146">
        <f t="shared" si="37"/>
        <v>0</v>
      </c>
      <c r="P104" s="146">
        <f t="shared" si="37"/>
        <v>0</v>
      </c>
      <c r="Q104" s="146">
        <f t="shared" si="37"/>
        <v>0</v>
      </c>
      <c r="R104" s="342">
        <f t="shared" si="37"/>
        <v>10613920</v>
      </c>
      <c r="S104" s="150">
        <f t="shared" si="37"/>
        <v>10613920</v>
      </c>
      <c r="T104" s="150">
        <f t="shared" si="37"/>
        <v>0</v>
      </c>
      <c r="U104" s="143"/>
    </row>
    <row r="105" spans="1:21" s="144" customFormat="1" ht="12">
      <c r="A105" s="149" t="s">
        <v>779</v>
      </c>
      <c r="B105" s="150">
        <f>SUM(C105:D105)</f>
        <v>94872063</v>
      </c>
      <c r="C105" s="150">
        <f t="shared" ref="C105:R105" si="38">SUM(C97+C104)</f>
        <v>94872063</v>
      </c>
      <c r="D105" s="150">
        <f t="shared" si="38"/>
        <v>0</v>
      </c>
      <c r="E105" s="150">
        <f t="shared" si="38"/>
        <v>39439244</v>
      </c>
      <c r="F105" s="150">
        <f t="shared" si="38"/>
        <v>20829836</v>
      </c>
      <c r="G105" s="150">
        <f t="shared" si="38"/>
        <v>26780431</v>
      </c>
      <c r="H105" s="150">
        <f t="shared" si="38"/>
        <v>7822552</v>
      </c>
      <c r="I105" s="150">
        <f t="shared" si="38"/>
        <v>0</v>
      </c>
      <c r="J105" s="150">
        <f t="shared" si="38"/>
        <v>0</v>
      </c>
      <c r="K105" s="150">
        <f t="shared" si="38"/>
        <v>0</v>
      </c>
      <c r="L105" s="150">
        <f t="shared" si="38"/>
        <v>0</v>
      </c>
      <c r="M105" s="150">
        <f t="shared" si="38"/>
        <v>0</v>
      </c>
      <c r="N105" s="150">
        <f t="shared" si="38"/>
        <v>0</v>
      </c>
      <c r="O105" s="150">
        <f t="shared" si="38"/>
        <v>0</v>
      </c>
      <c r="P105" s="150">
        <f t="shared" si="38"/>
        <v>0</v>
      </c>
      <c r="Q105" s="150">
        <f t="shared" si="38"/>
        <v>0</v>
      </c>
      <c r="R105" s="342">
        <f t="shared" si="38"/>
        <v>94872063</v>
      </c>
      <c r="S105" s="150">
        <f>S97+S104</f>
        <v>81363390</v>
      </c>
      <c r="T105" s="150">
        <f>T97+T104</f>
        <v>0</v>
      </c>
      <c r="U105" s="143"/>
    </row>
    <row r="106" spans="1:21" ht="12">
      <c r="A106" s="514" t="s">
        <v>1019</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81363390</v>
      </c>
      <c r="T107" s="150">
        <f>T105+T106</f>
        <v>0</v>
      </c>
    </row>
    <row r="108" spans="1:21" s="189" customFormat="1" ht="12">
      <c r="A108" s="162" t="s">
        <v>878</v>
      </c>
      <c r="B108" s="157"/>
      <c r="C108" s="157"/>
      <c r="D108" s="157"/>
      <c r="E108" s="301">
        <f>Application!AO640</f>
        <v>39439244</v>
      </c>
      <c r="F108" s="301">
        <f>Application!AO627</f>
        <v>20829836</v>
      </c>
      <c r="G108" s="301">
        <f>Application!AO628</f>
        <v>26780431</v>
      </c>
      <c r="H108" s="301">
        <f>Application!AO629</f>
        <v>7822552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957</v>
      </c>
      <c r="B110" s="157"/>
      <c r="C110" s="157"/>
      <c r="D110" s="157"/>
    </row>
    <row r="111" spans="1:21" ht="12">
      <c r="A111" s="156" t="s">
        <v>958</v>
      </c>
      <c r="B111" s="157"/>
      <c r="C111" s="157"/>
      <c r="D111" s="157"/>
    </row>
    <row r="112" spans="1:21" ht="12" customHeight="1">
      <c r="A112" s="312"/>
      <c r="B112" s="157"/>
      <c r="C112" s="157"/>
      <c r="D112" s="157"/>
    </row>
    <row r="113" spans="1:21" ht="12">
      <c r="A113" s="156" t="s">
        <v>1018</v>
      </c>
      <c r="B113" s="157"/>
      <c r="C113" s="157"/>
      <c r="D113" s="157"/>
    </row>
    <row r="114" spans="1:21" ht="12">
      <c r="A114" s="156" t="s">
        <v>2095</v>
      </c>
      <c r="B114" s="157"/>
      <c r="C114" s="157"/>
      <c r="D114" s="157"/>
    </row>
    <row r="115" spans="1:21" ht="12" customHeight="1">
      <c r="A115" s="312"/>
      <c r="B115" s="157"/>
      <c r="C115" s="157"/>
      <c r="D115" s="157"/>
    </row>
    <row r="116" spans="1:21" ht="12">
      <c r="A116" s="345" t="s">
        <v>1021</v>
      </c>
      <c r="B116" s="157"/>
      <c r="C116" s="157"/>
      <c r="D116" s="157"/>
    </row>
    <row r="117" spans="1:21" ht="12">
      <c r="A117" s="345" t="s">
        <v>1222</v>
      </c>
      <c r="B117" s="157"/>
      <c r="C117" s="157"/>
      <c r="D117" s="157"/>
    </row>
    <row r="118" spans="1:21" ht="12">
      <c r="A118" s="345" t="s">
        <v>1020</v>
      </c>
      <c r="B118" s="157"/>
      <c r="C118" s="157"/>
      <c r="D118" s="157"/>
    </row>
    <row r="119" spans="1:21" ht="12">
      <c r="A119" s="345" t="s">
        <v>1022</v>
      </c>
      <c r="B119" s="157"/>
      <c r="C119" s="157"/>
      <c r="D119" s="157"/>
    </row>
    <row r="120" spans="1:21" ht="12" customHeight="1">
      <c r="A120" s="344"/>
      <c r="B120" s="157"/>
      <c r="C120" s="157"/>
      <c r="D120" s="157"/>
    </row>
    <row r="121" spans="1:21" ht="15.6">
      <c r="A121" s="338" t="s">
        <v>1004</v>
      </c>
      <c r="B121" s="157"/>
      <c r="C121" s="157"/>
      <c r="D121" s="157"/>
    </row>
    <row r="122" spans="1:21">
      <c r="A122" s="325" t="s">
        <v>988</v>
      </c>
      <c r="B122" s="324"/>
      <c r="C122" s="324"/>
      <c r="D122" s="1871" t="s">
        <v>989</v>
      </c>
      <c r="E122" s="1871"/>
      <c r="F122" s="1871"/>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3" t="s">
        <v>1223</v>
      </c>
      <c r="E123" s="1555"/>
      <c r="F123" s="1555"/>
      <c r="G123" s="1555"/>
      <c r="H123" s="1555"/>
      <c r="I123" s="1555"/>
      <c r="J123" s="1555"/>
      <c r="K123" s="1555"/>
      <c r="L123" s="1555"/>
      <c r="M123" s="1555"/>
      <c r="N123" s="1555"/>
      <c r="O123" s="1555"/>
      <c r="P123" s="1555"/>
      <c r="Q123" s="1555"/>
      <c r="R123" s="1555"/>
      <c r="S123" s="1555"/>
      <c r="T123" s="324"/>
      <c r="U123" s="326"/>
    </row>
    <row r="124" spans="1:21" ht="13.2">
      <c r="A124" s="117" t="s">
        <v>991</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3.2">
      <c r="A125" s="117" t="s">
        <v>992</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3.2">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995</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3.2">
      <c r="A129" s="117" t="s">
        <v>299</v>
      </c>
      <c r="B129" s="333"/>
      <c r="C129" s="117"/>
      <c r="D129" s="1870" t="s">
        <v>996</v>
      </c>
      <c r="E129" s="1870"/>
      <c r="F129" s="1870"/>
      <c r="G129" s="1870"/>
      <c r="H129" s="1870"/>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998</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4" t="s">
        <v>999</v>
      </c>
      <c r="E132" s="1864"/>
      <c r="F132" s="1864"/>
      <c r="G132" s="1864"/>
      <c r="H132" s="1864"/>
      <c r="I132" s="117"/>
      <c r="J132" s="1864" t="s">
        <v>1000</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2">
      <c r="A139" s="1861" t="s">
        <v>1003</v>
      </c>
      <c r="B139" s="1861"/>
      <c r="C139" s="1861"/>
      <c r="D139" s="328"/>
      <c r="E139" s="117" t="s">
        <v>997</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4" t="s">
        <v>1226</v>
      </c>
      <c r="B1" s="1875"/>
      <c r="C1" s="1875"/>
      <c r="D1" s="1875"/>
      <c r="E1" s="1875"/>
      <c r="F1" s="1875"/>
      <c r="G1" s="1875"/>
      <c r="H1" s="1875"/>
      <c r="I1" s="1875"/>
      <c r="J1" s="1876"/>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7400000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592</v>
      </c>
      <c r="B8" s="361">
        <f>'Sources and Uses Budget'!C8</f>
        <v>7400000</v>
      </c>
      <c r="C8" s="361">
        <f>SUM(C4:C7)</f>
        <v>0</v>
      </c>
      <c r="D8" s="361">
        <f>SUM(D4:D7)</f>
        <v>0</v>
      </c>
      <c r="E8" s="363"/>
      <c r="F8" s="363"/>
      <c r="G8" s="363"/>
      <c r="H8" s="363"/>
      <c r="I8" s="363"/>
      <c r="J8" s="363"/>
      <c r="K8" s="359"/>
    </row>
    <row r="9" spans="1:11" s="360" customFormat="1" ht="11.4">
      <c r="A9" s="364" t="s">
        <v>593</v>
      </c>
      <c r="B9" s="361">
        <f>'Sources and Uses Budget'!C9</f>
        <v>0</v>
      </c>
      <c r="C9" s="362"/>
      <c r="D9" s="362"/>
      <c r="E9" s="363"/>
      <c r="F9" s="363"/>
      <c r="G9" s="363"/>
      <c r="H9" s="361">
        <f>'Sources and Uses Budget'!T9</f>
        <v>0</v>
      </c>
      <c r="I9" s="362"/>
      <c r="J9" s="362"/>
      <c r="K9" s="359"/>
    </row>
    <row r="10" spans="1:11" s="360" customFormat="1" ht="11.4">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7400000</v>
      </c>
      <c r="C12" s="361">
        <f>SUM(C8+C11)</f>
        <v>0</v>
      </c>
      <c r="D12" s="361">
        <f>SUM(D8+D11)</f>
        <v>0</v>
      </c>
      <c r="E12" s="363"/>
      <c r="F12" s="363"/>
      <c r="G12" s="363"/>
      <c r="H12" s="363"/>
      <c r="I12" s="363"/>
      <c r="J12" s="363"/>
      <c r="K12" s="359"/>
    </row>
    <row r="13" spans="1:11" s="360" customFormat="1" ht="11.4">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596</v>
      </c>
      <c r="B16" s="358"/>
      <c r="C16" s="358"/>
      <c r="D16" s="358"/>
      <c r="E16" s="358"/>
      <c r="F16" s="358"/>
      <c r="G16" s="358"/>
      <c r="H16" s="358"/>
      <c r="I16" s="358"/>
      <c r="J16" s="358"/>
      <c r="K16" s="359"/>
    </row>
    <row r="17" spans="1:11" s="360" customFormat="1" ht="11.4">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597</v>
      </c>
      <c r="B29" s="361">
        <f>'Sources and Uses Budget'!C29</f>
        <v>4261306</v>
      </c>
      <c r="C29" s="362"/>
      <c r="D29" s="362"/>
      <c r="E29" s="361">
        <f>'Sources and Uses Budget'!S29</f>
        <v>4261306</v>
      </c>
      <c r="F29" s="362"/>
      <c r="G29" s="362"/>
      <c r="H29" s="361">
        <f>'Sources and Uses Budget'!T29</f>
        <v>0</v>
      </c>
      <c r="I29" s="362"/>
      <c r="J29" s="362"/>
      <c r="K29" s="359"/>
    </row>
    <row r="30" spans="1:11" s="360" customFormat="1" ht="11.4">
      <c r="A30" s="145" t="s">
        <v>598</v>
      </c>
      <c r="B30" s="361">
        <f>'Sources and Uses Budget'!C30</f>
        <v>43198917</v>
      </c>
      <c r="C30" s="362"/>
      <c r="D30" s="362"/>
      <c r="E30" s="361">
        <f>'Sources and Uses Budget'!S30</f>
        <v>43198917</v>
      </c>
      <c r="F30" s="362"/>
      <c r="G30" s="362"/>
      <c r="H30" s="361">
        <f>'Sources and Uses Budget'!T30</f>
        <v>0</v>
      </c>
      <c r="I30" s="362"/>
      <c r="J30" s="362"/>
      <c r="K30" s="359"/>
    </row>
    <row r="31" spans="1:11" s="360" customFormat="1" ht="11.4">
      <c r="A31" s="145" t="s">
        <v>599</v>
      </c>
      <c r="B31" s="361">
        <f>'Sources and Uses Budget'!C31</f>
        <v>3640443</v>
      </c>
      <c r="C31" s="362"/>
      <c r="D31" s="362"/>
      <c r="E31" s="361">
        <f>'Sources and Uses Budget'!S31</f>
        <v>3640443</v>
      </c>
      <c r="F31" s="362"/>
      <c r="G31" s="362"/>
      <c r="H31" s="361">
        <f>'Sources and Uses Budget'!T31</f>
        <v>0</v>
      </c>
      <c r="I31" s="362"/>
      <c r="J31" s="362"/>
      <c r="K31" s="359"/>
    </row>
    <row r="32" spans="1:11" s="360" customFormat="1" ht="11.4">
      <c r="A32" s="145" t="s">
        <v>137</v>
      </c>
      <c r="B32" s="361">
        <f>'Sources and Uses Budget'!C32</f>
        <v>930123</v>
      </c>
      <c r="C32" s="362"/>
      <c r="D32" s="362"/>
      <c r="E32" s="361">
        <f>'Sources and Uses Budget'!S32</f>
        <v>930123</v>
      </c>
      <c r="F32" s="362"/>
      <c r="G32" s="362"/>
      <c r="H32" s="361">
        <f>'Sources and Uses Budget'!T32</f>
        <v>0</v>
      </c>
      <c r="I32" s="362"/>
      <c r="J32" s="362"/>
      <c r="K32" s="359"/>
    </row>
    <row r="33" spans="1:11" s="360" customFormat="1" ht="11.4">
      <c r="A33" s="145" t="s">
        <v>138</v>
      </c>
      <c r="B33" s="361">
        <f>'Sources and Uses Budget'!C33</f>
        <v>930123</v>
      </c>
      <c r="C33" s="362"/>
      <c r="D33" s="362"/>
      <c r="E33" s="361">
        <f>'Sources and Uses Budget'!S33</f>
        <v>930123</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1123647</v>
      </c>
      <c r="C35" s="362"/>
      <c r="D35" s="362"/>
      <c r="E35" s="361">
        <f>'Sources and Uses Budget'!S35</f>
        <v>1123647</v>
      </c>
      <c r="F35" s="362"/>
      <c r="G35" s="362"/>
      <c r="H35" s="361">
        <f>'Sources and Uses Budget'!T35</f>
        <v>0</v>
      </c>
      <c r="I35" s="362"/>
      <c r="J35" s="362"/>
      <c r="K35" s="359"/>
    </row>
    <row r="36" spans="1:11" s="360" customFormat="1" ht="11.4">
      <c r="A36" s="508" t="s">
        <v>1639</v>
      </c>
      <c r="B36" s="361">
        <f>'Sources and Uses Budget'!C36</f>
        <v>300000</v>
      </c>
      <c r="C36" s="362"/>
      <c r="D36" s="362"/>
      <c r="E36" s="361">
        <f>'Sources and Uses Budget'!S36</f>
        <v>300000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54384559</v>
      </c>
      <c r="C38" s="361">
        <f>SUM(C29:C37)</f>
        <v>0</v>
      </c>
      <c r="D38" s="361">
        <f>SUM(D29:D37)</f>
        <v>0</v>
      </c>
      <c r="E38" s="361">
        <f>'Sources and Uses Budget'!S38</f>
        <v>54384559</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766889</v>
      </c>
      <c r="C40" s="362"/>
      <c r="D40" s="362"/>
      <c r="E40" s="361">
        <f>'Sources and Uses Budget'!S40</f>
        <v>766889</v>
      </c>
      <c r="F40" s="362"/>
      <c r="G40" s="362"/>
      <c r="H40" s="361">
        <f>'Sources and Uses Budget'!T40</f>
        <v>0</v>
      </c>
      <c r="I40" s="362"/>
      <c r="J40" s="362"/>
      <c r="K40" s="359"/>
    </row>
    <row r="41" spans="1:11" s="360" customFormat="1" ht="11.4">
      <c r="A41" s="364" t="s">
        <v>146</v>
      </c>
      <c r="B41" s="361">
        <f>'Sources and Uses Budget'!C41</f>
        <v>766889</v>
      </c>
      <c r="C41" s="362"/>
      <c r="D41" s="362"/>
      <c r="E41" s="361">
        <f>'Sources and Uses Budget'!S41</f>
        <v>766889</v>
      </c>
      <c r="F41" s="362"/>
      <c r="G41" s="362"/>
      <c r="H41" s="361">
        <f>'Sources and Uses Budget'!T41</f>
        <v>0</v>
      </c>
      <c r="I41" s="362"/>
      <c r="J41" s="362"/>
      <c r="K41" s="359"/>
    </row>
    <row r="42" spans="1:11" s="360" customFormat="1">
      <c r="A42" s="365" t="s">
        <v>147</v>
      </c>
      <c r="B42" s="361">
        <f>'Sources and Uses Budget'!C42</f>
        <v>1533778</v>
      </c>
      <c r="C42" s="361">
        <f>SUM(C39:C41)</f>
        <v>0</v>
      </c>
      <c r="D42" s="361">
        <f>SUM(D39:D41)</f>
        <v>0</v>
      </c>
      <c r="E42" s="361">
        <f>'Sources and Uses Budget'!S42</f>
        <v>1533778</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400000</v>
      </c>
      <c r="C43" s="362"/>
      <c r="D43" s="362"/>
      <c r="E43" s="361">
        <f>'Sources and Uses Budget'!S43</f>
        <v>400000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6716105</v>
      </c>
      <c r="C45" s="362"/>
      <c r="D45" s="362"/>
      <c r="E45" s="361">
        <f>'Sources and Uses Budget'!S45</f>
        <v>3762498</v>
      </c>
      <c r="F45" s="362"/>
      <c r="G45" s="362"/>
      <c r="H45" s="361">
        <f>'Sources and Uses Budget'!T45</f>
        <v>0</v>
      </c>
      <c r="I45" s="362"/>
      <c r="J45" s="362"/>
      <c r="K45" s="359"/>
    </row>
    <row r="46" spans="1:11" s="360" customFormat="1" ht="11.4">
      <c r="A46" s="364" t="s">
        <v>151</v>
      </c>
      <c r="B46" s="361">
        <f>'Sources and Uses Budget'!C46</f>
        <v>602271</v>
      </c>
      <c r="C46" s="362"/>
      <c r="D46" s="362"/>
      <c r="E46" s="361">
        <f>'Sources and Uses Budget'!S46</f>
        <v>350993</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512256</v>
      </c>
      <c r="C48" s="362"/>
      <c r="D48" s="362"/>
      <c r="E48" s="361">
        <f>'Sources and Uses Budget'!S48</f>
        <v>512256</v>
      </c>
      <c r="F48" s="362"/>
      <c r="G48" s="362"/>
      <c r="H48" s="361">
        <f>'Sources and Uses Budget'!T48</f>
        <v>0</v>
      </c>
      <c r="I48" s="362"/>
      <c r="J48" s="362"/>
      <c r="K48" s="359"/>
    </row>
    <row r="49" spans="1:11" s="360" customFormat="1" ht="11.4">
      <c r="A49" s="283" t="s">
        <v>57</v>
      </c>
      <c r="B49" s="361">
        <f>'Sources and Uses Budget'!C49</f>
        <v>321300</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60000</v>
      </c>
      <c r="C50" s="362"/>
      <c r="D50" s="362"/>
      <c r="E50" s="361">
        <f>'Sources and Uses Budget'!S50</f>
        <v>30000</v>
      </c>
      <c r="F50" s="362"/>
      <c r="G50" s="362"/>
      <c r="H50" s="361">
        <f>'Sources and Uses Budget'!T50</f>
        <v>0</v>
      </c>
      <c r="I50" s="362"/>
      <c r="J50" s="362"/>
      <c r="K50" s="359"/>
    </row>
    <row r="51" spans="1:11" s="360" customFormat="1" ht="11.4">
      <c r="A51" s="364" t="s">
        <v>154</v>
      </c>
      <c r="B51" s="361">
        <f>'Sources and Uses Budget'!C51</f>
        <v>175208</v>
      </c>
      <c r="C51" s="362"/>
      <c r="D51" s="362"/>
      <c r="E51" s="361">
        <f>'Sources and Uses Budget'!S51</f>
        <v>0</v>
      </c>
      <c r="F51" s="362"/>
      <c r="G51" s="362"/>
      <c r="H51" s="361">
        <f>'Sources and Uses Budget'!T51</f>
        <v>0</v>
      </c>
      <c r="I51" s="362"/>
      <c r="J51" s="362"/>
      <c r="K51" s="359"/>
    </row>
    <row r="52" spans="1:11" s="360" customFormat="1" ht="11.4">
      <c r="A52" s="364" t="s">
        <v>155</v>
      </c>
      <c r="B52" s="361">
        <f>'Sources and Uses Budget'!C52</f>
        <v>2186401</v>
      </c>
      <c r="C52" s="362"/>
      <c r="D52" s="362"/>
      <c r="E52" s="361">
        <f>'Sources and Uses Budget'!S52</f>
        <v>2186401</v>
      </c>
      <c r="F52" s="362"/>
      <c r="G52" s="362"/>
      <c r="H52" s="361">
        <f>'Sources and Uses Budget'!T52</f>
        <v>0</v>
      </c>
      <c r="I52" s="362"/>
      <c r="J52" s="362"/>
      <c r="K52" s="359"/>
    </row>
    <row r="53" spans="1:11" s="360" customFormat="1" ht="11.4">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10573541</v>
      </c>
      <c r="C54" s="367">
        <f>SUM(C45:C53)</f>
        <v>0</v>
      </c>
      <c r="D54" s="367">
        <f>SUM(D45:D53)</f>
        <v>0</v>
      </c>
      <c r="E54" s="361">
        <f>'Sources and Uses Budget'!S54</f>
        <v>6842148</v>
      </c>
      <c r="F54" s="367">
        <f>SUM(F45:F53)</f>
        <v>0</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308298</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40000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348298</v>
      </c>
      <c r="C62" s="361">
        <f>SUM(C56:C61)</f>
        <v>0</v>
      </c>
      <c r="D62" s="361">
        <f>SUM(D56:D61)</f>
        <v>0</v>
      </c>
      <c r="E62" s="363"/>
      <c r="F62" s="363"/>
      <c r="G62" s="363"/>
      <c r="H62" s="363"/>
      <c r="I62" s="363"/>
      <c r="J62" s="363"/>
      <c r="K62" s="359"/>
    </row>
    <row r="63" spans="1:11" s="360" customFormat="1" ht="11.4">
      <c r="A63" s="370" t="s">
        <v>301</v>
      </c>
      <c r="B63" s="361">
        <f>'Sources and Uses Budget'!C63</f>
        <v>74640176</v>
      </c>
      <c r="C63" s="361">
        <f>SUM(C8+C11+C13+C14+C15+C26+C27+C38+C42+C43+C54+C62)</f>
        <v>0</v>
      </c>
      <c r="D63" s="361">
        <f>SUM(D8+D11+D13+D14+D15+D26+D27+D38+D42+D43+D54+D62)</f>
        <v>0</v>
      </c>
      <c r="E63" s="361">
        <f>'Sources and Uses Budget'!S63</f>
        <v>63160485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1643</v>
      </c>
      <c r="B64" s="358"/>
      <c r="C64" s="358"/>
      <c r="D64" s="358"/>
      <c r="E64" s="358"/>
      <c r="F64" s="358"/>
      <c r="G64" s="358"/>
      <c r="H64" s="358"/>
      <c r="I64" s="358"/>
      <c r="J64" s="358"/>
      <c r="K64" s="359"/>
    </row>
    <row r="65" spans="1:11" s="360" customFormat="1" ht="11.4">
      <c r="A65" s="145" t="s">
        <v>170</v>
      </c>
      <c r="B65" s="361">
        <f>'Sources and Uses Budget'!C65</f>
        <v>360000</v>
      </c>
      <c r="C65" s="362"/>
      <c r="D65" s="362"/>
      <c r="E65" s="361">
        <f>'Sources and Uses Budget'!S65</f>
        <v>153278</v>
      </c>
      <c r="F65" s="362"/>
      <c r="G65" s="362"/>
      <c r="H65" s="361">
        <f>'Sources and Uses Budget'!T65</f>
        <v>0</v>
      </c>
      <c r="I65" s="362"/>
      <c r="J65" s="362"/>
      <c r="K65" s="359"/>
    </row>
    <row r="66" spans="1:11" s="360" customFormat="1" ht="22.8">
      <c r="A66" s="283" t="s">
        <v>1640</v>
      </c>
      <c r="B66" s="361">
        <f>'Sources and Uses Budget'!C66</f>
        <v>300000</v>
      </c>
      <c r="C66" s="362"/>
      <c r="D66" s="362"/>
      <c r="E66" s="361">
        <f>'Sources and Uses Budget'!S66</f>
        <v>300000</v>
      </c>
      <c r="F66" s="362"/>
      <c r="G66" s="362"/>
      <c r="H66" s="361">
        <f>'Sources and Uses Budget'!T66</f>
        <v>0</v>
      </c>
      <c r="I66" s="362"/>
      <c r="J66" s="362"/>
      <c r="K66" s="359"/>
    </row>
    <row r="67" spans="1:11" s="360" customFormat="1" ht="22.8">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660000</v>
      </c>
      <c r="C70" s="361">
        <f>SUM(C64:C69)</f>
        <v>0</v>
      </c>
      <c r="D70" s="361">
        <f>SUM(D64:D69)</f>
        <v>0</v>
      </c>
      <c r="E70" s="361">
        <f>'Sources and Uses Budget'!S70</f>
        <v>453278</v>
      </c>
      <c r="F70" s="367">
        <f>SUM(F65:F69)</f>
        <v>0</v>
      </c>
      <c r="G70" s="367">
        <f>SUM(G65:G69)</f>
        <v>0</v>
      </c>
      <c r="H70" s="361">
        <f>'Sources and Uses Budget'!T70</f>
        <v>0</v>
      </c>
      <c r="I70" s="367">
        <f>SUM(I65:I69)</f>
        <v>0</v>
      </c>
      <c r="J70" s="367">
        <f>SUM(J65:J69)</f>
        <v>0</v>
      </c>
      <c r="K70" s="359"/>
    </row>
    <row r="71" spans="1:11" s="360" customFormat="1" ht="11.4">
      <c r="A71" s="357" t="s">
        <v>601</v>
      </c>
      <c r="B71" s="358"/>
      <c r="C71" s="358"/>
      <c r="D71" s="358"/>
      <c r="E71" s="358"/>
      <c r="F71" s="358"/>
      <c r="G71" s="358"/>
      <c r="H71" s="358"/>
      <c r="I71" s="358"/>
      <c r="J71" s="358"/>
      <c r="K71" s="359"/>
    </row>
    <row r="72" spans="1:11" s="360" customFormat="1" ht="11.4">
      <c r="A72" s="364" t="s">
        <v>602</v>
      </c>
      <c r="B72" s="361">
        <f>'Sources and Uses Budget'!C72</f>
        <v>0</v>
      </c>
      <c r="C72" s="362"/>
      <c r="D72" s="362"/>
      <c r="E72" s="363"/>
      <c r="F72" s="363"/>
      <c r="G72" s="363"/>
      <c r="H72" s="363"/>
      <c r="I72" s="363"/>
      <c r="J72" s="363"/>
      <c r="K72" s="359"/>
    </row>
    <row r="73" spans="1:11" s="360" customFormat="1" ht="11.4">
      <c r="A73" s="364" t="s">
        <v>603</v>
      </c>
      <c r="B73" s="361">
        <f>'Sources and Uses Budget'!C73</f>
        <v>200000</v>
      </c>
      <c r="C73" s="362"/>
      <c r="D73" s="362"/>
      <c r="E73" s="363"/>
      <c r="F73" s="363"/>
      <c r="G73" s="363"/>
      <c r="H73" s="363"/>
      <c r="I73" s="363"/>
      <c r="J73" s="363"/>
      <c r="K73" s="359"/>
    </row>
    <row r="74" spans="1:11" s="360" customFormat="1" ht="11.4">
      <c r="A74" s="366" t="s">
        <v>985</v>
      </c>
      <c r="B74" s="361">
        <f>'Sources and Uses Budget'!C74</f>
        <v>0</v>
      </c>
      <c r="C74" s="362"/>
      <c r="D74" s="362"/>
      <c r="E74" s="363"/>
      <c r="F74" s="363"/>
      <c r="G74" s="363"/>
      <c r="H74" s="363"/>
      <c r="I74" s="363"/>
      <c r="J74" s="363"/>
      <c r="K74" s="359"/>
    </row>
    <row r="75" spans="1:11" s="360" customFormat="1" ht="11.4">
      <c r="A75" s="364" t="s">
        <v>604</v>
      </c>
      <c r="B75" s="361">
        <f>'Sources and Uses Budget'!C75</f>
        <v>669923</v>
      </c>
      <c r="C75" s="362"/>
      <c r="D75" s="362"/>
      <c r="E75" s="363"/>
      <c r="F75" s="363"/>
      <c r="G75" s="363"/>
      <c r="H75" s="363"/>
      <c r="I75" s="363"/>
      <c r="J75" s="363"/>
      <c r="K75" s="359"/>
    </row>
    <row r="76" spans="1:11" s="360" customFormat="1" ht="11.4">
      <c r="A76" s="364" t="str">
        <f>'Sources and Uses Budget'!$A76</f>
        <v>Other: HCD Pooled Transition Reserve</v>
      </c>
      <c r="B76" s="361">
        <f>'Sources and Uses Budget'!C76</f>
        <v>242570</v>
      </c>
      <c r="C76" s="362"/>
      <c r="D76" s="362"/>
      <c r="E76" s="363"/>
      <c r="F76" s="363"/>
      <c r="G76" s="363"/>
      <c r="H76" s="363"/>
      <c r="I76" s="363"/>
      <c r="J76" s="363"/>
      <c r="K76" s="359"/>
    </row>
    <row r="77" spans="1:11" s="360" customFormat="1">
      <c r="A77" s="365" t="s">
        <v>605</v>
      </c>
      <c r="B77" s="361">
        <f>'Sources and Uses Budget'!C77</f>
        <v>1112493</v>
      </c>
      <c r="C77" s="361">
        <f>SUM(C72:C76)</f>
        <v>0</v>
      </c>
      <c r="D77" s="361">
        <f>SUM(D72:D76)</f>
        <v>0</v>
      </c>
      <c r="E77" s="363"/>
      <c r="F77" s="363"/>
      <c r="G77" s="363"/>
      <c r="H77" s="363"/>
      <c r="I77" s="363"/>
      <c r="J77" s="363"/>
      <c r="K77" s="359"/>
    </row>
    <row r="78" spans="1:11" s="360" customFormat="1" ht="11.4">
      <c r="A78" s="357" t="s">
        <v>1209</v>
      </c>
      <c r="B78" s="358"/>
      <c r="C78" s="358"/>
      <c r="D78" s="358"/>
      <c r="E78" s="358"/>
      <c r="F78" s="358"/>
      <c r="G78" s="358"/>
      <c r="H78" s="358"/>
      <c r="I78" s="358"/>
      <c r="J78" s="358"/>
      <c r="K78" s="359"/>
    </row>
    <row r="79" spans="1:11" s="360" customFormat="1" ht="11.4">
      <c r="A79" s="364" t="s">
        <v>1211</v>
      </c>
      <c r="B79" s="361">
        <f>'Sources and Uses Budget'!C79</f>
        <v>4253970</v>
      </c>
      <c r="C79" s="362"/>
      <c r="D79" s="362"/>
      <c r="E79" s="361">
        <f>'Sources and Uses Budget'!S79</f>
        <v>4253970</v>
      </c>
      <c r="F79" s="362"/>
      <c r="G79" s="362"/>
      <c r="H79" s="361">
        <f>'Sources and Uses Budget'!T79</f>
        <v>0</v>
      </c>
      <c r="I79" s="362"/>
      <c r="J79" s="362"/>
      <c r="K79" s="359"/>
    </row>
    <row r="80" spans="1:11" s="360" customFormat="1" ht="11.4">
      <c r="A80" s="364" t="s">
        <v>58</v>
      </c>
      <c r="B80" s="361">
        <f>'Sources and Uses Budget'!C80</f>
        <v>754352</v>
      </c>
      <c r="C80" s="362"/>
      <c r="D80" s="362"/>
      <c r="E80" s="361">
        <f>'Sources and Uses Budget'!S80</f>
        <v>377176</v>
      </c>
      <c r="F80" s="362"/>
      <c r="G80" s="362"/>
      <c r="H80" s="361">
        <f>'Sources and Uses Budget'!T80</f>
        <v>0</v>
      </c>
      <c r="I80" s="362"/>
      <c r="J80" s="362"/>
      <c r="K80" s="359"/>
    </row>
    <row r="81" spans="1:11" s="360" customFormat="1">
      <c r="A81" s="365" t="s">
        <v>1208</v>
      </c>
      <c r="B81" s="361">
        <f>'Sources and Uses Budget'!C81</f>
        <v>5008322</v>
      </c>
      <c r="C81" s="361">
        <f>SUM(C79:C80)</f>
        <v>0</v>
      </c>
      <c r="D81" s="361">
        <f>SUM(D79:D80)</f>
        <v>0</v>
      </c>
      <c r="E81" s="361">
        <f>'Sources and Uses Budget'!S81</f>
        <v>4631146</v>
      </c>
      <c r="F81" s="361">
        <f>SUM(F79:F80)</f>
        <v>0</v>
      </c>
      <c r="G81" s="361">
        <f>SUM(G79:G80)</f>
        <v>0</v>
      </c>
      <c r="H81" s="361">
        <f>'Sources and Uses Budget'!T81</f>
        <v>0</v>
      </c>
      <c r="I81" s="361">
        <f>SUM(I79:I80)</f>
        <v>0</v>
      </c>
      <c r="J81" s="361">
        <f>SUM(J79:J80)</f>
        <v>0</v>
      </c>
      <c r="K81" s="359"/>
    </row>
    <row r="82" spans="1:11" s="360" customFormat="1" ht="11.4">
      <c r="A82" s="357" t="s">
        <v>764</v>
      </c>
      <c r="B82" s="358"/>
      <c r="C82" s="358"/>
      <c r="D82" s="358"/>
      <c r="E82" s="358"/>
      <c r="F82" s="358"/>
      <c r="G82" s="358"/>
      <c r="H82" s="358"/>
      <c r="I82" s="358"/>
      <c r="J82" s="358"/>
      <c r="K82" s="359"/>
    </row>
    <row r="83" spans="1:11" s="360" customFormat="1" ht="13.65" customHeight="1">
      <c r="A83" s="145" t="s">
        <v>2094</v>
      </c>
      <c r="B83" s="361">
        <f>'Sources and Uses Budget'!C83</f>
        <v>122591</v>
      </c>
      <c r="C83" s="362"/>
      <c r="D83" s="362"/>
      <c r="E83" s="363"/>
      <c r="F83" s="363"/>
      <c r="G83" s="363"/>
      <c r="H83" s="363"/>
      <c r="I83" s="363"/>
      <c r="J83" s="363"/>
      <c r="K83" s="359"/>
    </row>
    <row r="84" spans="1:11" s="360" customFormat="1" ht="11.4">
      <c r="A84" s="145" t="s">
        <v>766</v>
      </c>
      <c r="B84" s="361">
        <f>'Sources and Uses Budget'!C84</f>
        <v>0</v>
      </c>
      <c r="C84" s="362"/>
      <c r="D84" s="362"/>
      <c r="E84" s="361">
        <f>'Sources and Uses Budget'!S84</f>
        <v>0</v>
      </c>
      <c r="F84" s="362"/>
      <c r="G84" s="362"/>
      <c r="H84" s="361">
        <f>'Sources and Uses Budget'!T84</f>
        <v>0</v>
      </c>
      <c r="I84" s="362"/>
      <c r="J84" s="362"/>
      <c r="K84" s="359"/>
    </row>
    <row r="85" spans="1:11" s="360" customFormat="1" ht="11.4">
      <c r="A85" s="145" t="s">
        <v>767</v>
      </c>
      <c r="B85" s="361">
        <f>'Sources and Uses Budget'!C85</f>
        <v>1355001</v>
      </c>
      <c r="C85" s="362"/>
      <c r="D85" s="362"/>
      <c r="E85" s="361">
        <f>'Sources and Uses Budget'!S85</f>
        <v>1355001</v>
      </c>
      <c r="F85" s="362"/>
      <c r="G85" s="362"/>
      <c r="H85" s="361">
        <f>'Sources and Uses Budget'!T85</f>
        <v>0</v>
      </c>
      <c r="I85" s="362"/>
      <c r="J85" s="362"/>
      <c r="K85" s="359"/>
    </row>
    <row r="86" spans="1:11" s="360" customFormat="1" ht="11.4">
      <c r="A86" s="145" t="s">
        <v>768</v>
      </c>
      <c r="B86" s="361">
        <f>'Sources and Uses Budget'!C86</f>
        <v>289560</v>
      </c>
      <c r="C86" s="362"/>
      <c r="D86" s="362"/>
      <c r="E86" s="361">
        <f>'Sources and Uses Budget'!S86</f>
        <v>289560</v>
      </c>
      <c r="F86" s="362"/>
      <c r="G86" s="362"/>
      <c r="H86" s="361">
        <f>'Sources and Uses Budget'!T86</f>
        <v>0</v>
      </c>
      <c r="I86" s="362"/>
      <c r="J86" s="362"/>
      <c r="K86" s="359"/>
    </row>
    <row r="87" spans="1:11" s="360" customFormat="1" ht="11.4">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770</v>
      </c>
      <c r="B88" s="361">
        <f>'Sources and Uses Budget'!C88</f>
        <v>180000</v>
      </c>
      <c r="C88" s="362"/>
      <c r="D88" s="362"/>
      <c r="E88" s="363"/>
      <c r="F88" s="363"/>
      <c r="G88" s="363"/>
      <c r="H88" s="363"/>
      <c r="I88" s="363"/>
      <c r="J88" s="363"/>
      <c r="K88" s="359"/>
    </row>
    <row r="89" spans="1:11" s="360" customFormat="1" ht="11.4">
      <c r="A89" s="145" t="s">
        <v>771</v>
      </c>
      <c r="B89" s="361">
        <f>'Sources and Uses Budget'!C89</f>
        <v>100000</v>
      </c>
      <c r="C89" s="362"/>
      <c r="D89" s="362"/>
      <c r="E89" s="361">
        <f>'Sources and Uses Budget'!S89</f>
        <v>100000</v>
      </c>
      <c r="F89" s="362"/>
      <c r="G89" s="362"/>
      <c r="H89" s="361">
        <f>'Sources and Uses Budget'!T89</f>
        <v>0</v>
      </c>
      <c r="I89" s="362"/>
      <c r="J89" s="362"/>
      <c r="K89" s="359"/>
    </row>
    <row r="90" spans="1:11" s="360" customFormat="1" ht="11.4">
      <c r="A90" s="145" t="s">
        <v>772</v>
      </c>
      <c r="B90" s="361">
        <f>'Sources and Uses Budget'!C90</f>
        <v>20000</v>
      </c>
      <c r="C90" s="362"/>
      <c r="D90" s="362"/>
      <c r="E90" s="361">
        <f>'Sources and Uses Budget'!S90</f>
        <v>10000</v>
      </c>
      <c r="F90" s="362"/>
      <c r="G90" s="362"/>
      <c r="H90" s="361">
        <f>'Sources and Uses Budget'!T90</f>
        <v>0</v>
      </c>
      <c r="I90" s="362"/>
      <c r="J90" s="362"/>
      <c r="K90" s="359"/>
    </row>
    <row r="91" spans="1:11" s="360" customFormat="1" ht="11.4">
      <c r="A91" s="155" t="s">
        <v>371</v>
      </c>
      <c r="B91" s="361">
        <f>'Sources and Uses Budget'!C91</f>
        <v>75000</v>
      </c>
      <c r="C91" s="362"/>
      <c r="D91" s="362"/>
      <c r="E91" s="361">
        <f>'Sources and Uses Budget'!S91</f>
        <v>75000</v>
      </c>
      <c r="F91" s="362"/>
      <c r="G91" s="362"/>
      <c r="H91" s="361">
        <f>'Sources and Uses Budget'!T91</f>
        <v>0</v>
      </c>
      <c r="I91" s="362"/>
      <c r="J91" s="362"/>
      <c r="K91" s="359"/>
    </row>
    <row r="92" spans="1:11" s="360" customFormat="1" ht="11.4">
      <c r="A92" s="508" t="s">
        <v>1210</v>
      </c>
      <c r="B92" s="361">
        <f>'Sources and Uses Budget'!C92</f>
        <v>20000</v>
      </c>
      <c r="C92" s="362"/>
      <c r="D92" s="362"/>
      <c r="E92" s="361">
        <f>'Sources and Uses Budget'!S92</f>
        <v>0</v>
      </c>
      <c r="F92" s="362"/>
      <c r="G92" s="362"/>
      <c r="H92" s="361">
        <f>'Sources and Uses Budget'!T92</f>
        <v>0</v>
      </c>
      <c r="I92" s="362"/>
      <c r="J92" s="362"/>
      <c r="K92" s="359"/>
    </row>
    <row r="93" spans="1:11" s="360" customFormat="1" ht="11.4">
      <c r="A93" s="364" t="str">
        <f>'Sources and Uses Budget'!$A93</f>
        <v>Other: Utility Hookups</v>
      </c>
      <c r="B93" s="361">
        <f>'Sources and Uses Budget'!C93</f>
        <v>675000</v>
      </c>
      <c r="C93" s="362"/>
      <c r="D93" s="362"/>
      <c r="E93" s="361">
        <f>'Sources and Uses Budget'!S93</f>
        <v>675000</v>
      </c>
      <c r="F93" s="362"/>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2837152</v>
      </c>
      <c r="C96" s="361">
        <f>SUM(C83:C95)</f>
        <v>0</v>
      </c>
      <c r="D96" s="361">
        <f>SUM(D83:D95)</f>
        <v>0</v>
      </c>
      <c r="E96" s="361">
        <f>'Sources and Uses Budget'!S96</f>
        <v>2504561</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84258143</v>
      </c>
      <c r="C97" s="361">
        <f>SUM(C63+C70+C77+C81+C96)</f>
        <v>0</v>
      </c>
      <c r="D97" s="361">
        <f>SUM(D63+D70+D77+D81+D96)</f>
        <v>0</v>
      </c>
      <c r="E97" s="361">
        <f>'Sources and Uses Budget'!S97</f>
        <v>70749470</v>
      </c>
      <c r="F97" s="367">
        <f>SUM(+F63+F70+F81+F96)</f>
        <v>0</v>
      </c>
      <c r="G97" s="367">
        <f>SUM(+G63+G70+G81+G96)</f>
        <v>0</v>
      </c>
      <c r="H97" s="361">
        <f>'Sources and Uses Budget'!T97</f>
        <v>0</v>
      </c>
      <c r="I97" s="367">
        <f>SUM(I63+I70+I81+I96)</f>
        <v>0</v>
      </c>
      <c r="J97" s="367">
        <f>SUM(J63+J70+J81+J96)</f>
        <v>0</v>
      </c>
      <c r="K97" s="359"/>
    </row>
    <row r="98" spans="1:11" s="360" customFormat="1" ht="11.4">
      <c r="A98" s="357" t="s">
        <v>775</v>
      </c>
      <c r="B98" s="358"/>
      <c r="C98" s="358"/>
      <c r="D98" s="358"/>
      <c r="E98" s="358"/>
      <c r="F98" s="358"/>
      <c r="G98" s="358"/>
      <c r="H98" s="358"/>
      <c r="I98" s="358"/>
      <c r="J98" s="358"/>
      <c r="K98" s="359"/>
    </row>
    <row r="99" spans="1:11" s="360" customFormat="1" ht="11.4">
      <c r="A99" s="145" t="s">
        <v>776</v>
      </c>
      <c r="B99" s="361">
        <f>'Sources and Uses Budget'!C99</f>
        <v>10613920</v>
      </c>
      <c r="C99" s="362"/>
      <c r="D99" s="362"/>
      <c r="E99" s="361">
        <f>'Sources and Uses Budget'!S99</f>
        <v>10613920</v>
      </c>
      <c r="F99" s="362"/>
      <c r="G99" s="362"/>
      <c r="H99" s="361">
        <f>'Sources and Uses Budget'!T99</f>
        <v>0</v>
      </c>
      <c r="I99" s="362"/>
      <c r="J99" s="362"/>
      <c r="K99" s="359"/>
    </row>
    <row r="100" spans="1:11" s="360" customFormat="1" ht="11.4">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10613920</v>
      </c>
      <c r="C104" s="361">
        <f>SUM(C99:C103)</f>
        <v>0</v>
      </c>
      <c r="D104" s="361">
        <f>SUM(D99:D103)</f>
        <v>0</v>
      </c>
      <c r="E104" s="361">
        <f>'Sources and Uses Budget'!S104</f>
        <v>10613920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94872063</v>
      </c>
      <c r="C105" s="367">
        <f>SUM(C97+C104)</f>
        <v>0</v>
      </c>
      <c r="D105" s="367">
        <f>SUM(D97+D104)</f>
        <v>0</v>
      </c>
      <c r="E105" s="361">
        <f>'Sources and Uses Budget'!S105</f>
        <v>81363390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81363390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2"/>
      <c r="E124" s="1312"/>
      <c r="F124" s="1312"/>
      <c r="G124" s="1312"/>
      <c r="H124" s="1312"/>
      <c r="I124" s="1312"/>
      <c r="J124" s="376"/>
      <c r="K124" s="359"/>
    </row>
    <row r="125" spans="1:11" s="360" customFormat="1" ht="13.2">
      <c r="A125" s="385"/>
      <c r="B125" s="384"/>
      <c r="C125" s="385"/>
      <c r="D125" s="1312"/>
      <c r="E125" s="1312"/>
      <c r="F125" s="1312"/>
      <c r="G125" s="1312"/>
      <c r="H125" s="1312"/>
      <c r="I125" s="1312"/>
      <c r="J125" s="376"/>
      <c r="K125" s="359"/>
    </row>
    <row r="126" spans="1:11" s="360" customFormat="1" ht="13.2">
      <c r="A126" s="385"/>
      <c r="B126" s="384"/>
      <c r="C126" s="385"/>
      <c r="D126" s="1312"/>
      <c r="E126" s="1312"/>
      <c r="F126" s="1312"/>
      <c r="G126" s="1312"/>
      <c r="H126" s="1312"/>
      <c r="I126" s="1312"/>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N10" sqref="N10:T10"/>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77" t="str">
        <f>IF(Application!H18="","",Application!H18)</f>
        <v>525 Water Street</v>
      </c>
      <c r="M4" s="1878"/>
      <c r="N4" s="1878"/>
      <c r="O4" s="1878"/>
      <c r="P4" s="1878"/>
      <c r="Q4" s="1878"/>
      <c r="R4" s="1878"/>
      <c r="S4" s="1878"/>
      <c r="T4" s="1878"/>
      <c r="U4" s="1878"/>
      <c r="V4" s="1878"/>
      <c r="W4" s="1878"/>
      <c r="X4" s="1878"/>
      <c r="Y4" s="1878"/>
      <c r="Z4" s="1878"/>
      <c r="AA4" s="1878"/>
      <c r="AB4" s="1878"/>
      <c r="AC4" s="1879"/>
      <c r="AD4" s="1190"/>
      <c r="AE4" s="1190"/>
      <c r="AF4" s="1891" t="s">
        <v>2455</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2454</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7" t="str">
        <f>IF(Application!H16="","",Application!H16)</f>
        <v>Kingdom Development, Inc.</v>
      </c>
      <c r="M6" s="1878"/>
      <c r="N6" s="1878"/>
      <c r="O6" s="1878"/>
      <c r="P6" s="1878"/>
      <c r="Q6" s="1878"/>
      <c r="R6" s="1878"/>
      <c r="S6" s="1878"/>
      <c r="T6" s="1878"/>
      <c r="U6" s="1878"/>
      <c r="V6" s="1878"/>
      <c r="W6" s="1878"/>
      <c r="X6" s="1878"/>
      <c r="Y6" s="1878"/>
      <c r="Z6" s="1878"/>
      <c r="AA6" s="1878"/>
      <c r="AB6" s="1878"/>
      <c r="AC6" s="1879"/>
      <c r="AD6" s="1190"/>
      <c r="AE6" s="1190"/>
      <c r="AF6" s="1880" t="s">
        <v>2452</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2451</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2449</v>
      </c>
      <c r="AG8" s="1880"/>
      <c r="AH8" s="1880"/>
      <c r="AI8" s="1880"/>
      <c r="AJ8" s="1880"/>
      <c r="AK8" s="1880"/>
      <c r="AL8" s="1880"/>
      <c r="AM8" s="1880"/>
      <c r="AN8" s="1880"/>
      <c r="AO8" s="1880"/>
      <c r="AP8" s="1881" t="s">
        <v>2098</v>
      </c>
      <c r="AQ8" s="1881"/>
      <c r="AR8" s="1881"/>
      <c r="AS8" s="1881"/>
      <c r="AT8" s="1881"/>
      <c r="AU8" s="1881"/>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2448</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1906">
        <f>Application!AO627</f>
        <v>20829836</v>
      </c>
      <c r="O10" s="1906"/>
      <c r="P10" s="1906"/>
      <c r="Q10" s="1906"/>
      <c r="R10" s="1906"/>
      <c r="S10" s="1906"/>
      <c r="T10" s="1906"/>
      <c r="U10" s="1190"/>
      <c r="V10" s="1190"/>
      <c r="W10" s="1190"/>
      <c r="X10" s="1193"/>
      <c r="Y10" s="1193"/>
      <c r="Z10" s="1193"/>
      <c r="AA10" s="1193"/>
      <c r="AB10" s="1193"/>
      <c r="AC10" s="1193"/>
      <c r="AD10" s="1193"/>
      <c r="AE10" s="1193"/>
      <c r="AF10" s="1891" t="s">
        <v>2445</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2442</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4" t="s">
        <v>2440</v>
      </c>
      <c r="C13" s="1895"/>
      <c r="D13" s="1895"/>
      <c r="E13" s="1895"/>
      <c r="F13" s="1895"/>
      <c r="G13" s="1895"/>
      <c r="H13" s="1895"/>
      <c r="I13" s="1895"/>
      <c r="J13" s="1895"/>
      <c r="K13" s="1895"/>
      <c r="L13" s="1895"/>
      <c r="M13" s="1895"/>
      <c r="N13" s="1895"/>
      <c r="O13" s="1895"/>
      <c r="P13" s="1896"/>
      <c r="Q13" s="1897" t="s">
        <v>668</v>
      </c>
      <c r="R13" s="1898"/>
      <c r="S13" s="1898"/>
      <c r="T13" s="1899"/>
      <c r="U13" s="1193"/>
      <c r="V13" s="1190"/>
      <c r="W13" s="1190"/>
      <c r="X13" s="1190"/>
      <c r="Y13" s="1190"/>
      <c r="Z13" s="1190"/>
      <c r="AA13" s="1900" t="s">
        <v>2439</v>
      </c>
      <c r="AB13" s="1900"/>
      <c r="AC13" s="1900"/>
      <c r="AD13" s="1900"/>
      <c r="AE13" s="1900"/>
      <c r="AF13" s="1900"/>
      <c r="AG13" s="1900"/>
      <c r="AH13" s="1900"/>
      <c r="AI13" s="1900"/>
      <c r="AJ13" s="1900"/>
      <c r="AK13" s="1900"/>
      <c r="AL13" s="1900"/>
      <c r="AM13" s="1900"/>
      <c r="AN13" s="1900"/>
      <c r="AO13" s="1901">
        <f>Application!W473</f>
        <v>23</v>
      </c>
      <c r="AP13" s="1902"/>
      <c r="AQ13" s="1902"/>
      <c r="AR13" s="1902"/>
      <c r="AS13" s="1902"/>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5" thickBot="1">
      <c r="A15" s="1190"/>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2433</v>
      </c>
      <c r="C18" s="1916"/>
      <c r="D18" s="1916"/>
      <c r="E18" s="1916"/>
      <c r="F18" s="1916"/>
      <c r="G18" s="1916"/>
      <c r="H18" s="1916"/>
      <c r="I18" s="1917"/>
      <c r="J18" s="1918" t="s">
        <v>1585</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0"/>
      <c r="BA18" s="1190"/>
      <c r="BB18" s="1190"/>
      <c r="BC18" s="1190"/>
      <c r="BD18" s="1190"/>
      <c r="BE18" s="1194"/>
    </row>
    <row r="19" spans="1:58" ht="14.4">
      <c r="A19" s="1190"/>
      <c r="B19" s="1922">
        <v>0.3</v>
      </c>
      <c r="C19" s="1923"/>
      <c r="D19" s="1923"/>
      <c r="E19" s="1923"/>
      <c r="F19" s="1923"/>
      <c r="G19" s="1923"/>
      <c r="H19" s="1923"/>
      <c r="I19" s="1924"/>
      <c r="J19" s="1925">
        <f t="shared" ref="J19:J24" si="0">SUM(P19:AS19)</f>
        <v>31</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23</v>
      </c>
      <c r="W19" s="1926"/>
      <c r="X19" s="1926"/>
      <c r="Y19" s="1926"/>
      <c r="Z19" s="1926"/>
      <c r="AA19" s="1927"/>
      <c r="AB19" s="1925" cm="1">
        <f t="array" ref="AB19">SUMPRODUCT((Application!$B$714:$B$738 = 'CalHFA Addendum'!AB$18)*(Application!$AC$714:$AC$738 = 'CalHFA Addendum'!$B19),Application!$G$714:$G$738)</f>
        <v>4</v>
      </c>
      <c r="AC19" s="1926"/>
      <c r="AD19" s="1926"/>
      <c r="AE19" s="1926"/>
      <c r="AF19" s="1926"/>
      <c r="AG19" s="1927"/>
      <c r="AH19" s="1925" cm="1">
        <f t="array" ref="AH19">SUMPRODUCT((Application!$B$714:$B$738 = 'CalHFA Addendum'!AH$18)*(Application!$AC$714:$AC$738 = 'CalHFA Addendum'!$B19),Application!$G$714:$G$738)</f>
        <v>3</v>
      </c>
      <c r="AI19" s="1926"/>
      <c r="AJ19" s="1926"/>
      <c r="AK19" s="1926"/>
      <c r="AL19" s="1926"/>
      <c r="AM19" s="1927"/>
      <c r="AN19" s="1925" cm="1">
        <f t="array" ref="AN19">SUMPRODUCT((Application!$B$714:$B$738 = 'CalHFA Addendum'!AN$18)*(Application!$AC$714:$AC$738 = 'CalHFA Addendum'!$B19),Application!$G$714:$G$738)</f>
        <v>1</v>
      </c>
      <c r="AO19" s="1926"/>
      <c r="AP19" s="1926"/>
      <c r="AQ19" s="1926"/>
      <c r="AR19" s="1926"/>
      <c r="AS19" s="1927"/>
      <c r="AT19" s="1928">
        <f t="shared" ref="AT19:AT29" si="1">J19/$J$29</f>
        <v>0.34444444444444444</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4.4">
      <c r="A21" s="1190"/>
      <c r="B21" s="1922">
        <v>0.5</v>
      </c>
      <c r="C21" s="1923"/>
      <c r="D21" s="1923"/>
      <c r="E21" s="1923"/>
      <c r="F21" s="1923"/>
      <c r="G21" s="1923"/>
      <c r="H21" s="1923"/>
      <c r="I21" s="1924"/>
      <c r="J21" s="1925">
        <f t="shared" si="0"/>
        <v>14</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10</v>
      </c>
      <c r="W21" s="1926"/>
      <c r="X21" s="1926"/>
      <c r="Y21" s="1926"/>
      <c r="Z21" s="1926"/>
      <c r="AA21" s="1927"/>
      <c r="AB21" s="1925" cm="1">
        <f t="array" ref="AB21">SUMPRODUCT((Application!$B$714:$B$738 = 'CalHFA Addendum'!AB$18)*(Application!$AC$714:$AC$738 = 'CalHFA Addendum'!$B21),Application!$G$714:$G$738)</f>
        <v>3</v>
      </c>
      <c r="AC21" s="1926"/>
      <c r="AD21" s="1926"/>
      <c r="AE21" s="1926"/>
      <c r="AF21" s="1926"/>
      <c r="AG21" s="1927"/>
      <c r="AH21" s="1925" cm="1">
        <f t="array" ref="AH21">SUMPRODUCT((Application!$B$714:$B$738 = 'CalHFA Addendum'!AH$18)*(Application!$AC$714:$AC$738 = 'CalHFA Addendum'!$B21),Application!$G$714:$G$738)</f>
        <v>1</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0.15555555555555556</v>
      </c>
      <c r="AU21" s="1929"/>
      <c r="AV21" s="1929"/>
      <c r="AW21" s="1929"/>
      <c r="AX21" s="1929"/>
      <c r="AY21" s="1930"/>
      <c r="AZ21" s="1190"/>
      <c r="BA21" s="1190"/>
      <c r="BB21" s="1190"/>
      <c r="BC21" s="1190"/>
      <c r="BD21" s="1190"/>
      <c r="BE21" s="1194"/>
    </row>
    <row r="22" spans="1:58" ht="14.4">
      <c r="A22" s="1190"/>
      <c r="B22" s="1922">
        <v>0.6</v>
      </c>
      <c r="C22" s="1923"/>
      <c r="D22" s="1923"/>
      <c r="E22" s="1923"/>
      <c r="F22" s="1923"/>
      <c r="G22" s="1923"/>
      <c r="H22" s="1923"/>
      <c r="I22" s="1924"/>
      <c r="J22" s="1925">
        <f t="shared" si="0"/>
        <v>44</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16</v>
      </c>
      <c r="AC22" s="1926"/>
      <c r="AD22" s="1926"/>
      <c r="AE22" s="1926"/>
      <c r="AF22" s="1926"/>
      <c r="AG22" s="1927"/>
      <c r="AH22" s="1925" cm="1">
        <f t="array" ref="AH22">SUMPRODUCT((Application!$B$714:$B$738 = 'CalHFA Addendum'!AH$18)*(Application!$AC$714:$AC$738 = 'CalHFA Addendum'!$B22),Application!$G$714:$G$738)</f>
        <v>19</v>
      </c>
      <c r="AI22" s="1926"/>
      <c r="AJ22" s="1926"/>
      <c r="AK22" s="1926"/>
      <c r="AL22" s="1926"/>
      <c r="AM22" s="1927"/>
      <c r="AN22" s="1925" cm="1">
        <f t="array" ref="AN22">SUMPRODUCT((Application!$B$714:$B$738 = 'CalHFA Addendum'!AN$18)*(Application!$AC$714:$AC$738 = 'CalHFA Addendum'!$B22),Application!$G$714:$G$738)</f>
        <v>9</v>
      </c>
      <c r="AO22" s="1926"/>
      <c r="AP22" s="1926"/>
      <c r="AQ22" s="1926"/>
      <c r="AR22" s="1926"/>
      <c r="AS22" s="1927"/>
      <c r="AT22" s="1928">
        <f t="shared" si="1"/>
        <v>0.48888888888888887</v>
      </c>
      <c r="AU22" s="1929"/>
      <c r="AV22" s="1929"/>
      <c r="AW22" s="1929"/>
      <c r="AX22" s="1929"/>
      <c r="AY22" s="1930"/>
      <c r="AZ22" s="1190"/>
      <c r="BA22" s="1190"/>
      <c r="BB22" s="1190"/>
      <c r="BC22" s="1190"/>
      <c r="BD22" s="1190"/>
      <c r="BE22" s="1194"/>
    </row>
    <row r="23" spans="1:58" ht="14.4">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4.4">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4.4">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4">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4">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5" thickBot="1">
      <c r="A28" s="1190"/>
      <c r="B28" s="1934" t="s">
        <v>2431</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1.1111111111111112E-2</v>
      </c>
      <c r="AU28" s="1941"/>
      <c r="AV28" s="1941"/>
      <c r="AW28" s="1941"/>
      <c r="AX28" s="1941"/>
      <c r="AY28" s="1942"/>
      <c r="AZ28" s="1190"/>
      <c r="BA28" s="1190"/>
      <c r="BB28" s="1190"/>
      <c r="BC28" s="1190"/>
      <c r="BD28" s="1190"/>
      <c r="BE28" s="1194"/>
    </row>
    <row r="29" spans="1:58" ht="15" thickBot="1">
      <c r="A29" s="1190"/>
      <c r="B29" s="1971" t="s">
        <v>1585</v>
      </c>
      <c r="C29" s="1944"/>
      <c r="D29" s="1944"/>
      <c r="E29" s="1944"/>
      <c r="F29" s="1944"/>
      <c r="G29" s="1944"/>
      <c r="H29" s="1944"/>
      <c r="I29" s="1945"/>
      <c r="J29" s="1943">
        <f>SUM(J19:O28)</f>
        <v>90</v>
      </c>
      <c r="K29" s="1944"/>
      <c r="L29" s="1944"/>
      <c r="M29" s="1944"/>
      <c r="N29" s="1944"/>
      <c r="O29" s="1945"/>
      <c r="P29" s="1943">
        <f>SUM(P19:U28)</f>
        <v>0</v>
      </c>
      <c r="Q29" s="1944"/>
      <c r="R29" s="1944"/>
      <c r="S29" s="1944"/>
      <c r="T29" s="1944"/>
      <c r="U29" s="1945"/>
      <c r="V29" s="1943">
        <f>SUM(V19:AA28)</f>
        <v>33</v>
      </c>
      <c r="W29" s="1944"/>
      <c r="X29" s="1944"/>
      <c r="Y29" s="1944"/>
      <c r="Z29" s="1944"/>
      <c r="AA29" s="1945"/>
      <c r="AB29" s="1943">
        <f>SUM(AB19:AG28)</f>
        <v>24</v>
      </c>
      <c r="AC29" s="1944"/>
      <c r="AD29" s="1944"/>
      <c r="AE29" s="1944"/>
      <c r="AF29" s="1944"/>
      <c r="AG29" s="1945"/>
      <c r="AH29" s="1943">
        <f>SUM(AH19:AM28)</f>
        <v>23</v>
      </c>
      <c r="AI29" s="1944"/>
      <c r="AJ29" s="1944"/>
      <c r="AK29" s="1944"/>
      <c r="AL29" s="1944"/>
      <c r="AM29" s="1945"/>
      <c r="AN29" s="1943">
        <f>SUM(AN19:AS28)</f>
        <v>10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5" thickBot="1">
      <c r="A32" s="1190"/>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4"/>
    </row>
    <row r="36" spans="1:58" ht="15.75" customHeight="1">
      <c r="A36" s="1190"/>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1585</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668</v>
      </c>
      <c r="AW68" s="2035"/>
      <c r="AX68" s="2035"/>
      <c r="AY68" s="2035"/>
      <c r="AZ68" s="2035"/>
      <c r="BA68" s="2035"/>
      <c r="BB68" s="2035"/>
      <c r="BC68" s="2036"/>
      <c r="BD68" s="1190"/>
      <c r="BE68" s="1194"/>
      <c r="BM68" s="1199" t="s">
        <v>2397</v>
      </c>
    </row>
    <row r="69" spans="1:94" ht="15.75" customHeight="1" thickTop="1" thickBot="1">
      <c r="A69" s="1190"/>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0"/>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668</v>
      </c>
      <c r="AW69" s="2035"/>
      <c r="AX69" s="2035"/>
      <c r="AY69" s="2035"/>
      <c r="AZ69" s="2035"/>
      <c r="BA69" s="2035"/>
      <c r="BB69" s="2035"/>
      <c r="BC69" s="2036"/>
      <c r="BD69" s="1190"/>
      <c r="BE69" s="1194"/>
      <c r="BM69" s="1200" t="s">
        <v>544</v>
      </c>
    </row>
    <row r="70" spans="1:94" ht="15.75" customHeight="1">
      <c r="A70" s="1190"/>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668</v>
      </c>
    </row>
    <row r="71" spans="1:94" ht="15.75" customHeight="1" thickBot="1">
      <c r="A71" s="1190"/>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2389</v>
      </c>
    </row>
    <row r="72" spans="1:94" ht="15.75" customHeight="1">
      <c r="A72" s="1190"/>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2383</v>
      </c>
      <c r="C81" s="2067"/>
      <c r="D81" s="2067"/>
      <c r="E81" s="2067"/>
      <c r="F81" s="2067"/>
      <c r="G81" s="2067"/>
      <c r="H81" s="2067"/>
      <c r="I81" s="2067"/>
      <c r="J81" s="2067"/>
      <c r="K81" s="2067"/>
      <c r="L81" s="2067"/>
      <c r="M81" s="2067"/>
      <c r="N81" s="2067"/>
      <c r="O81" s="2067"/>
      <c r="P81" s="2067"/>
      <c r="Q81" s="2067"/>
      <c r="R81" s="2068" t="s">
        <v>2188</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2381</v>
      </c>
      <c r="AK83" s="2090"/>
      <c r="AL83" s="2090"/>
      <c r="AM83" s="2090"/>
      <c r="AN83" s="2090"/>
      <c r="AO83" s="2090"/>
      <c r="AP83" s="2090"/>
      <c r="AQ83" s="2090"/>
      <c r="AR83" s="2090"/>
      <c r="AS83" s="2090"/>
      <c r="AT83" s="2090"/>
      <c r="AU83" s="2090"/>
      <c r="AV83" s="2090"/>
      <c r="AW83" s="2090"/>
      <c r="AX83" s="2090"/>
      <c r="AY83" s="2093" t="s">
        <v>544</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2378</v>
      </c>
      <c r="C94" s="2067"/>
      <c r="D94" s="2067"/>
      <c r="E94" s="2067"/>
      <c r="F94" s="2067"/>
      <c r="G94" s="2067"/>
      <c r="H94" s="2067"/>
      <c r="I94" s="2067"/>
      <c r="J94" s="2067"/>
      <c r="K94" s="2067"/>
      <c r="L94" s="2067"/>
      <c r="M94" s="2067"/>
      <c r="N94" s="2067"/>
      <c r="O94" s="2067"/>
      <c r="P94" s="2067"/>
      <c r="Q94" s="2101"/>
      <c r="R94" s="2068" t="s">
        <v>2188</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2376</v>
      </c>
      <c r="AK96" s="2090"/>
      <c r="AL96" s="2090"/>
      <c r="AM96" s="2090"/>
      <c r="AN96" s="2090"/>
      <c r="AO96" s="2090"/>
      <c r="AP96" s="2090"/>
      <c r="AQ96" s="2090"/>
      <c r="AR96" s="2090"/>
      <c r="AS96" s="2090"/>
      <c r="AT96" s="2090"/>
      <c r="AU96" s="2090"/>
      <c r="AV96" s="2090"/>
      <c r="AW96" s="2090"/>
      <c r="AX96" s="2090"/>
      <c r="AY96" s="2093" t="s">
        <v>544</v>
      </c>
      <c r="AZ96" s="2093"/>
      <c r="BA96" s="2093"/>
      <c r="BB96" s="2094"/>
      <c r="BC96" s="1190"/>
      <c r="BD96" s="1190"/>
      <c r="BE96" s="1194"/>
      <c r="BQ96" s="1256" t="str">
        <f>Application!M243&amp;IF(TRIM(Application!AA249)&lt;&gt;""," ("&amp;Application!AA249&amp;")","")</f>
        <v>Zen Development LLC</v>
      </c>
      <c r="BR96" s="1259">
        <f>Application!AH246</f>
        <v>5.0000000000000001E-3</v>
      </c>
      <c r="CM96" s="1188"/>
      <c r="CN96" s="1188"/>
      <c r="CO96" s="1188"/>
      <c r="CP96" s="1188"/>
    </row>
    <row r="97" spans="1:94" ht="15.75" customHeight="1">
      <c r="A97" s="1190"/>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Kingdom AN, LLC (Kingdom Development, Inc)</v>
      </c>
      <c r="BR97" s="1259">
        <f>Application!AH254</f>
        <v>5.0000000000000001E-3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2365</v>
      </c>
      <c r="C117" s="2117"/>
      <c r="D117" s="2117"/>
      <c r="E117" s="2117"/>
      <c r="F117" s="2117"/>
      <c r="G117" s="2117"/>
      <c r="H117" s="2117"/>
      <c r="I117" s="2117"/>
      <c r="J117" s="2117"/>
      <c r="K117" s="2117"/>
      <c r="L117" s="2117"/>
      <c r="M117" s="2117"/>
      <c r="N117" s="2117"/>
      <c r="O117" s="2117"/>
      <c r="P117" s="2117"/>
      <c r="Q117" s="2117"/>
      <c r="R117" s="2117"/>
      <c r="S117" s="2117"/>
      <c r="T117" s="2117"/>
      <c r="U117" s="2120" t="s">
        <v>544</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2365</v>
      </c>
      <c r="C121" s="2125"/>
      <c r="D121" s="2125"/>
      <c r="E121" s="2125"/>
      <c r="F121" s="2125"/>
      <c r="G121" s="2125"/>
      <c r="H121" s="2125"/>
      <c r="I121" s="2125"/>
      <c r="J121" s="2125"/>
      <c r="K121" s="2125"/>
      <c r="L121" s="2125"/>
      <c r="M121" s="2125"/>
      <c r="N121" s="2125"/>
      <c r="O121" s="2125"/>
      <c r="P121" s="2125"/>
      <c r="Q121" s="2125"/>
      <c r="R121" s="2125"/>
      <c r="S121" s="2125"/>
      <c r="T121" s="2125"/>
      <c r="U121" s="2128" t="s">
        <v>544</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1575</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2362</v>
      </c>
      <c r="J127" s="2011"/>
      <c r="K127" s="2011"/>
      <c r="L127" s="2011"/>
      <c r="M127" s="2011"/>
      <c r="N127" s="2011"/>
      <c r="O127" s="2108" t="s">
        <v>2361</v>
      </c>
      <c r="P127" s="2108"/>
      <c r="Q127" s="2108"/>
      <c r="R127" s="2108"/>
      <c r="S127" s="2108"/>
      <c r="T127" s="2108"/>
      <c r="U127" s="2109"/>
      <c r="V127" s="1190"/>
      <c r="W127" s="1190"/>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2345</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2344</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2347</v>
      </c>
      <c r="J134" s="2154"/>
      <c r="K134" s="2154"/>
      <c r="L134" s="2154"/>
      <c r="M134" s="2154"/>
      <c r="N134" s="2154"/>
      <c r="O134" s="2154"/>
      <c r="P134" s="2154" t="s">
        <v>2346</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2345</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2344</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2358</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544</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2357</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2356</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544</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2355</v>
      </c>
      <c r="C142" s="2141"/>
      <c r="D142" s="2141"/>
      <c r="E142" s="2141"/>
      <c r="F142" s="2141"/>
      <c r="G142" s="2141"/>
      <c r="H142" s="2141"/>
      <c r="I142" s="2141"/>
      <c r="J142" s="2141"/>
      <c r="K142" s="2141"/>
      <c r="L142" s="2141"/>
      <c r="M142" s="2141"/>
      <c r="N142" s="2141"/>
      <c r="O142" s="2141"/>
      <c r="P142" s="2141"/>
      <c r="Q142" s="2141"/>
      <c r="R142" s="2142" t="s">
        <v>2354</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249</v>
      </c>
      <c r="BD142" s="1190"/>
      <c r="BE142" s="1194"/>
    </row>
    <row r="143" spans="1:57" ht="15.75" customHeight="1">
      <c r="A143" s="1190"/>
      <c r="B143" s="2144" t="s">
        <v>2353</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2347</v>
      </c>
      <c r="J157" s="2154"/>
      <c r="K157" s="2154"/>
      <c r="L157" s="2154"/>
      <c r="M157" s="2154"/>
      <c r="N157" s="2154"/>
      <c r="O157" s="2154"/>
      <c r="P157" s="2154" t="s">
        <v>2348</v>
      </c>
      <c r="Q157" s="2154"/>
      <c r="R157" s="2154"/>
      <c r="S157" s="2154"/>
      <c r="T157" s="2154"/>
      <c r="U157" s="2155"/>
      <c r="V157" s="1190"/>
      <c r="W157" s="1190"/>
      <c r="X157" s="2152"/>
      <c r="Y157" s="2153"/>
      <c r="Z157" s="2153"/>
      <c r="AA157" s="2153"/>
      <c r="AB157" s="2153"/>
      <c r="AC157" s="2153"/>
      <c r="AD157" s="2153"/>
      <c r="AE157" s="2154" t="s">
        <v>2347</v>
      </c>
      <c r="AF157" s="2154"/>
      <c r="AG157" s="2154"/>
      <c r="AH157" s="2154"/>
      <c r="AI157" s="2154"/>
      <c r="AJ157" s="2154"/>
      <c r="AK157" s="2154"/>
      <c r="AL157" s="2154" t="s">
        <v>2346</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2345</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2345</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2344</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2328</v>
      </c>
      <c r="D163" s="2153"/>
      <c r="E163" s="2153"/>
      <c r="F163" s="2153"/>
      <c r="G163" s="2153"/>
      <c r="H163" s="2153"/>
      <c r="I163" s="2153"/>
      <c r="J163" s="2153"/>
      <c r="K163" s="2153"/>
      <c r="L163" s="2153"/>
      <c r="M163" s="2153"/>
      <c r="N163" s="2153"/>
      <c r="O163" s="2153"/>
      <c r="P163" s="2153"/>
      <c r="Q163" s="2153" t="s">
        <v>2342</v>
      </c>
      <c r="R163" s="2153"/>
      <c r="S163" s="2153"/>
      <c r="T163" s="2098" t="s">
        <v>2341</v>
      </c>
      <c r="U163" s="2098"/>
      <c r="V163" s="2098"/>
      <c r="W163" s="2098"/>
      <c r="X163" s="2098"/>
      <c r="Y163" s="2098"/>
      <c r="Z163" s="2098"/>
      <c r="AA163" s="2098"/>
      <c r="AB163" s="2153" t="s">
        <v>2340</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2339</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2338</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2337</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2336</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169</v>
      </c>
      <c r="D168" s="2157"/>
      <c r="E168" s="2157"/>
      <c r="F168" s="2164" t="s">
        <v>2317</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169</v>
      </c>
      <c r="D169" s="2157"/>
      <c r="E169" s="2157"/>
      <c r="F169" s="2164" t="s">
        <v>2317</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169</v>
      </c>
      <c r="D170" s="2166"/>
      <c r="E170" s="2166"/>
      <c r="F170" s="2167" t="s">
        <v>2317</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2335</v>
      </c>
      <c r="D172" s="2057"/>
      <c r="E172" s="2057"/>
      <c r="F172" s="2057"/>
      <c r="G172" s="2057"/>
      <c r="H172" s="2057"/>
      <c r="I172" s="2057"/>
      <c r="J172" s="2057"/>
      <c r="K172" s="2057"/>
      <c r="L172" s="2057"/>
      <c r="M172" s="2057"/>
      <c r="N172" s="2107"/>
      <c r="O172" s="1190"/>
      <c r="P172" s="2172" t="s">
        <v>2334</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2333</v>
      </c>
      <c r="D173" s="2153"/>
      <c r="E173" s="2153"/>
      <c r="F173" s="2153"/>
      <c r="G173" s="2153"/>
      <c r="H173" s="2153"/>
      <c r="I173" s="2153" t="s">
        <v>2332</v>
      </c>
      <c r="J173" s="2153"/>
      <c r="K173" s="2153"/>
      <c r="L173" s="2153"/>
      <c r="M173" s="2153"/>
      <c r="N173" s="2161"/>
      <c r="O173" s="1190"/>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2330</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2327</v>
      </c>
      <c r="D185" s="2181"/>
      <c r="E185" s="2181"/>
      <c r="F185" s="2181"/>
      <c r="G185" s="2181"/>
      <c r="H185" s="2181"/>
      <c r="I185" s="2181"/>
      <c r="J185" s="2181"/>
      <c r="K185" s="2181"/>
      <c r="L185" s="2181"/>
      <c r="M185" s="2181"/>
      <c r="N185" s="2182">
        <f>'Sources and Uses Budget'!B105</f>
        <v>94872063</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2326</v>
      </c>
      <c r="D186" s="2181"/>
      <c r="E186" s="2181"/>
      <c r="F186" s="2181"/>
      <c r="G186" s="2181"/>
      <c r="H186" s="2181"/>
      <c r="I186" s="2181"/>
      <c r="J186" s="2181"/>
      <c r="K186" s="2181"/>
      <c r="L186" s="2181"/>
      <c r="M186" s="2181"/>
      <c r="N186" s="2182">
        <f>N185/J29</f>
        <v>1054134.0333333334</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2325</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2324</v>
      </c>
      <c r="D188" s="2181"/>
      <c r="E188" s="2181"/>
      <c r="F188" s="2181"/>
      <c r="G188" s="2181"/>
      <c r="H188" s="2181"/>
      <c r="I188" s="2181"/>
      <c r="J188" s="2181"/>
      <c r="K188" s="2181"/>
      <c r="L188" s="2181"/>
      <c r="M188" s="2181"/>
      <c r="N188" s="2198">
        <f>SUM('Sources and Uses Budget'!B85:B86)</f>
        <v>1644561</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2323</v>
      </c>
      <c r="D189" s="2181"/>
      <c r="E189" s="2181"/>
      <c r="F189" s="2181"/>
      <c r="G189" s="2181"/>
      <c r="H189" s="2181"/>
      <c r="I189" s="2181"/>
      <c r="J189" s="2181"/>
      <c r="K189" s="2181"/>
      <c r="L189" s="2181"/>
      <c r="M189" s="2181"/>
      <c r="N189" s="2198">
        <f>'Sources and Uses Budget'!B8</f>
        <v>7400000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2321</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2322</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2321</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2320</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2319</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299</v>
      </c>
      <c r="D192" s="2158"/>
      <c r="E192" s="2211" t="s">
        <v>2317</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2318</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299</v>
      </c>
      <c r="D193" s="2014"/>
      <c r="E193" s="2211" t="s">
        <v>2317</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299</v>
      </c>
      <c r="D194" s="2237"/>
      <c r="E194" s="2238" t="s">
        <v>2317</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2316</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2315</v>
      </c>
      <c r="D195" s="2220"/>
      <c r="E195" s="2220"/>
      <c r="F195" s="2220"/>
      <c r="G195" s="2220"/>
      <c r="H195" s="2220"/>
      <c r="I195" s="2220"/>
      <c r="J195" s="2220"/>
      <c r="K195" s="2220"/>
      <c r="L195" s="2220"/>
      <c r="M195" s="2220"/>
      <c r="N195" s="2221">
        <f>SUM(N187:T194)</f>
        <v>9044561</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2314</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2313</v>
      </c>
      <c r="D196" s="2230"/>
      <c r="E196" s="2230"/>
      <c r="F196" s="2230"/>
      <c r="G196" s="2230"/>
      <c r="H196" s="2230"/>
      <c r="I196" s="2230"/>
      <c r="J196" s="2230"/>
      <c r="K196" s="2230"/>
      <c r="L196" s="2230"/>
      <c r="M196" s="2230"/>
      <c r="N196" s="2231">
        <f>(N185-N195)/J29</f>
        <v>953638.91111111105</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2312</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2311</v>
      </c>
      <c r="D200" s="2256"/>
      <c r="E200" s="2256"/>
      <c r="F200" s="2256"/>
      <c r="G200" s="2256"/>
      <c r="H200" s="2256"/>
      <c r="I200" s="2256"/>
      <c r="J200" s="2256"/>
      <c r="K200" s="2256"/>
      <c r="L200" s="2256"/>
      <c r="M200" s="2256"/>
      <c r="N200" s="2256"/>
      <c r="O200" s="2257" t="s">
        <v>2310</v>
      </c>
      <c r="P200" s="2257"/>
      <c r="Q200" s="2257"/>
      <c r="R200" s="2257"/>
      <c r="S200" s="2257"/>
      <c r="T200" s="2257"/>
      <c r="U200" s="2257"/>
      <c r="V200" s="2257"/>
      <c r="W200" s="2257"/>
      <c r="X200" s="2257" t="s">
        <v>2309</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2308</v>
      </c>
      <c r="D201" s="2248"/>
      <c r="E201" s="2248"/>
      <c r="F201" s="2248"/>
      <c r="G201" s="2248"/>
      <c r="H201" s="2248"/>
      <c r="I201" s="2248"/>
      <c r="J201" s="2248"/>
      <c r="K201" s="2248"/>
      <c r="L201" s="2248"/>
      <c r="M201" s="2248"/>
      <c r="N201" s="2248"/>
      <c r="O201" s="2249" t="s">
        <v>2307</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853</v>
      </c>
      <c r="D202" s="2248"/>
      <c r="E202" s="2248"/>
      <c r="F202" s="2248"/>
      <c r="G202" s="2248"/>
      <c r="H202" s="2248"/>
      <c r="I202" s="2248"/>
      <c r="J202" s="2248"/>
      <c r="K202" s="2248"/>
      <c r="L202" s="2248"/>
      <c r="M202" s="2248"/>
      <c r="N202" s="2248"/>
      <c r="O202" s="2249" t="s">
        <v>2307</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2306</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2305</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2304</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2303</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2302</v>
      </c>
      <c r="D207" s="2263"/>
      <c r="E207" s="2263"/>
      <c r="F207" s="2264"/>
      <c r="G207" s="2268" t="s">
        <v>2301</v>
      </c>
      <c r="H207" s="2263"/>
      <c r="I207" s="2263"/>
      <c r="J207" s="2263"/>
      <c r="K207" s="2263"/>
      <c r="L207" s="2263"/>
      <c r="M207" s="2263"/>
      <c r="N207" s="2263"/>
      <c r="O207" s="2264"/>
      <c r="P207" s="2270" t="s">
        <v>2300</v>
      </c>
      <c r="Q207" s="2271"/>
      <c r="R207" s="2271"/>
      <c r="S207" s="2271"/>
      <c r="T207" s="2272"/>
      <c r="U207" s="2276" t="s">
        <v>2299</v>
      </c>
      <c r="V207" s="2277"/>
      <c r="W207" s="2277"/>
      <c r="X207" s="2278"/>
      <c r="Y207" s="2276" t="s">
        <v>2298</v>
      </c>
      <c r="Z207" s="2277"/>
      <c r="AA207" s="2277"/>
      <c r="AB207" s="2278"/>
      <c r="AC207" s="2276" t="s">
        <v>2297</v>
      </c>
      <c r="AD207" s="2277"/>
      <c r="AE207" s="2277"/>
      <c r="AF207" s="2278"/>
      <c r="AG207" s="2268" t="s">
        <v>2296</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1884</v>
      </c>
      <c r="H209" s="2289"/>
      <c r="I209" s="2289"/>
      <c r="J209" s="2289"/>
      <c r="K209" s="2289"/>
      <c r="L209" s="2289"/>
      <c r="M209" s="2289"/>
      <c r="N209" s="2289"/>
      <c r="O209" s="2289"/>
      <c r="P209" s="2290"/>
      <c r="Q209" s="2293"/>
      <c r="R209" s="2293"/>
      <c r="S209" s="2293"/>
      <c r="T209" s="2293"/>
      <c r="U209" s="2291" t="s">
        <v>1884</v>
      </c>
      <c r="V209" s="2291"/>
      <c r="W209" s="2291"/>
      <c r="X209" s="2291"/>
      <c r="Y209" s="2291" t="s">
        <v>1884</v>
      </c>
      <c r="Z209" s="2291"/>
      <c r="AA209" s="2291"/>
      <c r="AB209" s="2291"/>
      <c r="AC209" s="2292" t="s">
        <v>1884</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1884</v>
      </c>
      <c r="H210" s="2289"/>
      <c r="I210" s="2289"/>
      <c r="J210" s="2289"/>
      <c r="K210" s="2289"/>
      <c r="L210" s="2289"/>
      <c r="M210" s="2289"/>
      <c r="N210" s="2289"/>
      <c r="O210" s="2289"/>
      <c r="P210" s="2290"/>
      <c r="Q210" s="2290"/>
      <c r="R210" s="2290"/>
      <c r="S210" s="2290"/>
      <c r="T210" s="2290"/>
      <c r="U210" s="2291" t="s">
        <v>1884</v>
      </c>
      <c r="V210" s="2291"/>
      <c r="W210" s="2291"/>
      <c r="X210" s="2291"/>
      <c r="Y210" s="2291" t="s">
        <v>1884</v>
      </c>
      <c r="Z210" s="2291"/>
      <c r="AA210" s="2291"/>
      <c r="AB210" s="2291"/>
      <c r="AC210" s="2292" t="s">
        <v>1884</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1884</v>
      </c>
      <c r="H211" s="2289"/>
      <c r="I211" s="2289"/>
      <c r="J211" s="2289"/>
      <c r="K211" s="2289"/>
      <c r="L211" s="2289"/>
      <c r="M211" s="2289"/>
      <c r="N211" s="2289"/>
      <c r="O211" s="2289"/>
      <c r="P211" s="2290"/>
      <c r="Q211" s="2290"/>
      <c r="R211" s="2290"/>
      <c r="S211" s="2290"/>
      <c r="T211" s="2290"/>
      <c r="U211" s="2291" t="s">
        <v>1884</v>
      </c>
      <c r="V211" s="2291"/>
      <c r="W211" s="2291"/>
      <c r="X211" s="2291"/>
      <c r="Y211" s="2291" t="s">
        <v>1884</v>
      </c>
      <c r="Z211" s="2291"/>
      <c r="AA211" s="2291"/>
      <c r="AB211" s="2291"/>
      <c r="AC211" s="2292" t="s">
        <v>1884</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1884</v>
      </c>
      <c r="H212" s="2289"/>
      <c r="I212" s="2289"/>
      <c r="J212" s="2289"/>
      <c r="K212" s="2289"/>
      <c r="L212" s="2289"/>
      <c r="M212" s="2289"/>
      <c r="N212" s="2289"/>
      <c r="O212" s="2289"/>
      <c r="P212" s="2290"/>
      <c r="Q212" s="2290"/>
      <c r="R212" s="2290"/>
      <c r="S212" s="2290"/>
      <c r="T212" s="2290"/>
      <c r="U212" s="2291" t="s">
        <v>1884</v>
      </c>
      <c r="V212" s="2291"/>
      <c r="W212" s="2291"/>
      <c r="X212" s="2291"/>
      <c r="Y212" s="2291" t="s">
        <v>1884</v>
      </c>
      <c r="Z212" s="2291"/>
      <c r="AA212" s="2291"/>
      <c r="AB212" s="2291"/>
      <c r="AC212" s="2292" t="s">
        <v>1884</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1884</v>
      </c>
      <c r="H213" s="2289"/>
      <c r="I213" s="2289"/>
      <c r="J213" s="2289"/>
      <c r="K213" s="2289"/>
      <c r="L213" s="2289"/>
      <c r="M213" s="2289"/>
      <c r="N213" s="2289"/>
      <c r="O213" s="2289"/>
      <c r="P213" s="2290"/>
      <c r="Q213" s="2290"/>
      <c r="R213" s="2290"/>
      <c r="S213" s="2290"/>
      <c r="T213" s="2290"/>
      <c r="U213" s="2291" t="s">
        <v>1884</v>
      </c>
      <c r="V213" s="2291"/>
      <c r="W213" s="2291"/>
      <c r="X213" s="2291"/>
      <c r="Y213" s="2291" t="s">
        <v>1884</v>
      </c>
      <c r="Z213" s="2291"/>
      <c r="AA213" s="2291"/>
      <c r="AB213" s="2291"/>
      <c r="AC213" s="2292" t="s">
        <v>1884</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1884</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1884</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1884</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2295</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2293</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2292</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2291</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2290</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2288</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2287</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2286</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2285</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2284</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440</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2283</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2282</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K76" sqref="AK76"/>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9" t="s">
        <v>1279</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1237</v>
      </c>
    </row>
    <row r="7" spans="1:40" ht="12.9"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2.9"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 customHeight="1">
      <c r="B11" s="2340" t="s">
        <v>374</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81363390</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 customHeight="1">
      <c r="B12" s="2355" t="s">
        <v>496</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 customHeight="1">
      <c r="B13" s="435"/>
      <c r="C13" s="2357" t="s">
        <v>497</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 customHeight="1">
      <c r="B14" s="435"/>
      <c r="C14" s="2357" t="s">
        <v>498</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 customHeight="1">
      <c r="B15" s="435"/>
      <c r="C15" s="2357" t="s">
        <v>499</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 customHeight="1">
      <c r="B16" s="435"/>
      <c r="C16" s="2357" t="s">
        <v>804</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 customHeight="1">
      <c r="B17" s="435"/>
      <c r="C17" s="2357" t="s">
        <v>500</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 customHeight="1">
      <c r="A18"/>
      <c r="B18" s="1150"/>
      <c r="C18" s="1813" t="s">
        <v>959</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 customHeight="1">
      <c r="B19" s="1150"/>
      <c r="C19" s="1813" t="s">
        <v>959</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 customHeight="1">
      <c r="B20" s="2340" t="s">
        <v>501</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 customHeight="1">
      <c r="B21" s="2340" t="s">
        <v>1262</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 customHeight="1">
      <c r="B22" s="2340" t="s">
        <v>502</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 customHeight="1">
      <c r="B23" s="2340" t="s">
        <v>503</v>
      </c>
      <c r="C23" s="2341"/>
      <c r="D23" s="2341"/>
      <c r="E23" s="2341"/>
      <c r="F23" s="2341"/>
      <c r="G23" s="2341"/>
      <c r="H23" s="2341"/>
      <c r="I23" s="2341"/>
      <c r="J23" s="2341"/>
      <c r="K23" s="2341"/>
      <c r="L23" s="2341"/>
      <c r="M23" s="2341"/>
      <c r="N23" s="2341"/>
      <c r="O23" s="2341"/>
      <c r="P23" s="2341"/>
      <c r="Q23" s="2341"/>
      <c r="R23" s="2341"/>
      <c r="S23" s="2342"/>
      <c r="T23" s="2333">
        <f>T11+T22</f>
        <v>81363390</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2.9" customHeight="1">
      <c r="B24" s="2340" t="s">
        <v>960</v>
      </c>
      <c r="C24" s="2341"/>
      <c r="D24" s="2341"/>
      <c r="E24" s="2341"/>
      <c r="F24" s="2341"/>
      <c r="G24" s="2341"/>
      <c r="H24" s="2341"/>
      <c r="I24" s="2341"/>
      <c r="J24" s="2341"/>
      <c r="K24" s="2341"/>
      <c r="L24" s="2341"/>
      <c r="M24" s="2341"/>
      <c r="N24" s="2341"/>
      <c r="O24" s="2341"/>
      <c r="P24" s="2341"/>
      <c r="Q24" s="2341"/>
      <c r="R24" s="2341"/>
      <c r="S24" s="2342"/>
      <c r="T24" s="2335">
        <f>Application!AJ1053</f>
        <v>125916954.98000002</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 customHeight="1">
      <c r="B25" s="2344" t="s">
        <v>1263</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 customHeight="1">
      <c r="B26" s="2340" t="s">
        <v>504</v>
      </c>
      <c r="C26" s="2341"/>
      <c r="D26" s="2341"/>
      <c r="E26" s="2341"/>
      <c r="F26" s="2341"/>
      <c r="G26" s="2341"/>
      <c r="H26" s="2341"/>
      <c r="I26" s="2341"/>
      <c r="J26" s="2341"/>
      <c r="K26" s="2341"/>
      <c r="L26" s="2341"/>
      <c r="M26" s="2341"/>
      <c r="N26" s="2341"/>
      <c r="O26" s="2341"/>
      <c r="P26" s="2341"/>
      <c r="Q26" s="2341"/>
      <c r="R26" s="2341"/>
      <c r="S26" s="2342"/>
      <c r="T26" s="2333">
        <f>T23*T25</f>
        <v>105772407</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2.9" customHeight="1">
      <c r="A27" s="410"/>
      <c r="B27" s="2347" t="s">
        <v>425</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 customHeight="1">
      <c r="A28" s="404"/>
      <c r="B28" s="2340" t="s">
        <v>505</v>
      </c>
      <c r="C28" s="2341"/>
      <c r="D28" s="2341"/>
      <c r="E28" s="2341"/>
      <c r="F28" s="2341"/>
      <c r="G28" s="2341"/>
      <c r="H28" s="2341"/>
      <c r="I28" s="2341"/>
      <c r="J28" s="2341"/>
      <c r="K28" s="2341"/>
      <c r="L28" s="2341"/>
      <c r="M28" s="2341"/>
      <c r="N28" s="2341"/>
      <c r="O28" s="2341"/>
      <c r="P28" s="2341"/>
      <c r="Q28" s="2341"/>
      <c r="R28" s="2341"/>
      <c r="S28" s="2342"/>
      <c r="T28" s="2333">
        <f>IF(ISERROR((T26*T27)),0,(T26*T27))</f>
        <v>105772407</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2.9" customHeight="1">
      <c r="B29" s="2340" t="s">
        <v>522</v>
      </c>
      <c r="C29" s="2341"/>
      <c r="D29" s="2341"/>
      <c r="E29" s="2341"/>
      <c r="F29" s="2341"/>
      <c r="G29" s="2341"/>
      <c r="H29" s="2341"/>
      <c r="I29" s="2341"/>
      <c r="J29" s="2341"/>
      <c r="K29" s="2341"/>
      <c r="L29" s="2341"/>
      <c r="M29" s="2341"/>
      <c r="N29" s="2341"/>
      <c r="O29" s="2341"/>
      <c r="P29" s="2341"/>
      <c r="Q29" s="2341"/>
      <c r="R29" s="2341"/>
      <c r="S29" s="2342"/>
      <c r="T29" s="2335">
        <f>T28+Y28+AD28+AI28</f>
        <v>105772407</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 customHeight="1">
      <c r="B30" s="2343" t="s">
        <v>1265</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 customHeight="1">
      <c r="B31" s="2343" t="s">
        <v>1264</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575</v>
      </c>
      <c r="C34" s="404" t="s">
        <v>567</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1153</v>
      </c>
      <c r="Z35" s="2361"/>
      <c r="AA35" s="2361"/>
      <c r="AB35" s="2361"/>
      <c r="AC35" s="2361"/>
      <c r="AD35" s="2381" t="s">
        <v>368</v>
      </c>
      <c r="AE35" s="2381"/>
      <c r="AF35" s="2381"/>
      <c r="AG35" s="2381"/>
      <c r="AH35" s="2381"/>
    </row>
    <row r="36" spans="1:76" ht="12.9" customHeight="1">
      <c r="B36" s="407"/>
      <c r="X36" s="412"/>
      <c r="Y36" s="2361"/>
      <c r="Z36" s="2361"/>
      <c r="AA36" s="2361"/>
      <c r="AB36" s="2361"/>
      <c r="AC36" s="2361"/>
      <c r="AD36" s="2381"/>
      <c r="AE36" s="2381"/>
      <c r="AF36" s="2381"/>
      <c r="AG36" s="2381"/>
      <c r="AH36" s="2381"/>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2.9" customHeight="1">
      <c r="A38" s="404"/>
      <c r="B38" s="2340" t="s">
        <v>505</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105772407</v>
      </c>
      <c r="Z38" s="2334"/>
      <c r="AA38" s="2334"/>
      <c r="AB38" s="2334"/>
      <c r="AC38" s="2334"/>
      <c r="AD38" s="2334">
        <f>IF(T24&gt;=(T23+Y23+AD23+AI23),AD28+AI28,0)</f>
        <v>0</v>
      </c>
      <c r="AE38" s="2334"/>
      <c r="AF38" s="2334"/>
      <c r="AG38" s="2334"/>
      <c r="AH38" s="2334"/>
    </row>
    <row r="39" spans="1:76" ht="12.9" customHeight="1">
      <c r="B39" s="2340" t="s">
        <v>1690</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 customHeight="1">
      <c r="A40" s="404"/>
      <c r="B40" s="2340" t="s">
        <v>641</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4230896</v>
      </c>
      <c r="Z40" s="2334"/>
      <c r="AA40" s="2334"/>
      <c r="AB40" s="2334"/>
      <c r="AC40" s="2334"/>
      <c r="AD40" s="2333">
        <f>ROUND(AD38*AD39,0)</f>
        <v>0</v>
      </c>
      <c r="AE40" s="2334"/>
      <c r="AF40" s="2334"/>
      <c r="AG40" s="2334"/>
      <c r="AH40" s="2334"/>
    </row>
    <row r="41" spans="1:76" ht="12.9" customHeight="1">
      <c r="B41" s="2340" t="s">
        <v>642</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4230896</v>
      </c>
      <c r="Z41" s="2336"/>
      <c r="AA41" s="2336"/>
      <c r="AB41" s="2336"/>
      <c r="AC41" s="2336"/>
      <c r="AD41" s="2336"/>
      <c r="AE41" s="2336"/>
      <c r="AF41" s="2336"/>
      <c r="AG41" s="2336"/>
      <c r="AH41" s="2333"/>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8" t="s">
        <v>1275</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 customHeight="1" thickTop="1"/>
    <row r="46" spans="1:76" ht="12.9" customHeight="1">
      <c r="A46" s="404" t="s">
        <v>585</v>
      </c>
      <c r="C46" s="404" t="s">
        <v>281</v>
      </c>
    </row>
    <row r="47" spans="1:76" ht="12.9" customHeight="1">
      <c r="D47" s="404" t="s">
        <v>282</v>
      </c>
      <c r="AB47" s="2350">
        <f>'Sources and Uses Budget'!B105-MAX(IF('Sources and Uses Budget'!B15="",0,'Sources and Uses Budget'!B15),IF(Application!AG394="",0,Application!AG394))</f>
        <v>94872063</v>
      </c>
      <c r="AC47" s="2351"/>
      <c r="AD47" s="2351"/>
      <c r="AE47" s="2351"/>
      <c r="AF47" s="2352"/>
    </row>
    <row r="48" spans="1:76" ht="12.9" customHeight="1">
      <c r="D48" s="404" t="s">
        <v>21</v>
      </c>
      <c r="AB48" s="2350">
        <f>Application!AO639-MAX(IF('Sources and Uses Budget'!B15="",0,'Sources and Uses Budget'!B15),IF(Application!AG394="",0,Application!AG394))</f>
        <v>55432819</v>
      </c>
      <c r="AC48" s="2351"/>
      <c r="AD48" s="2351"/>
      <c r="AE48" s="2351"/>
      <c r="AF48" s="2352"/>
    </row>
    <row r="49" spans="1:76" ht="12.9" customHeight="1">
      <c r="D49" s="404" t="s">
        <v>91</v>
      </c>
      <c r="AB49" s="2350">
        <f>AB47-AB48</f>
        <v>39439244</v>
      </c>
      <c r="AC49" s="2351"/>
      <c r="AD49" s="2351"/>
      <c r="AE49" s="2351"/>
      <c r="AF49" s="2352"/>
    </row>
    <row r="50" spans="1:76" ht="12.9" customHeight="1">
      <c r="D50" s="404" t="s">
        <v>680</v>
      </c>
      <c r="AA50" s="415"/>
      <c r="AB50" s="2377">
        <f>35540340/(Y41*10)</f>
        <v>0.84001922996925471</v>
      </c>
      <c r="AC50" s="2378"/>
      <c r="AD50" s="2378"/>
      <c r="AE50" s="2378"/>
      <c r="AF50" s="2379"/>
    </row>
    <row r="51" spans="1:76" s="417" customFormat="1" ht="12.9" customHeight="1">
      <c r="A51" s="402"/>
      <c r="B51" s="402"/>
      <c r="C51" s="402"/>
      <c r="D51" s="402"/>
      <c r="E51" s="2380" t="s">
        <v>1849</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0">
        <f>ROUND(IF(ISERROR((AB49/AB50)),0,(AB49/AB50)),0)</f>
        <v>46950406</v>
      </c>
      <c r="AC54" s="2351"/>
      <c r="AD54" s="2351"/>
      <c r="AE54" s="2351"/>
      <c r="AF54" s="2352"/>
    </row>
    <row r="55" spans="1:76" ht="12.9" customHeight="1">
      <c r="D55" s="404" t="s">
        <v>332</v>
      </c>
      <c r="AB55" s="2350">
        <f>(AB54/10)</f>
        <v>4695040.5999999996</v>
      </c>
      <c r="AC55" s="2351"/>
      <c r="AD55" s="2351"/>
      <c r="AE55" s="2351"/>
      <c r="AF55" s="2352"/>
    </row>
    <row r="56" spans="1:76" ht="12.9" customHeight="1">
      <c r="D56" s="404" t="s">
        <v>755</v>
      </c>
      <c r="AB56" s="2350">
        <f>ROUND((IF((Y41&lt;AB55),Y41,AB55)),0)</f>
        <v>4230896</v>
      </c>
      <c r="AC56" s="2351"/>
      <c r="AD56" s="2351"/>
      <c r="AE56" s="2351"/>
      <c r="AF56" s="2352"/>
    </row>
    <row r="57" spans="1:76" ht="12.9" customHeight="1">
      <c r="D57" s="404" t="s">
        <v>754</v>
      </c>
      <c r="AB57" s="2350">
        <f>ROUND((10*AB56*AB50),0)</f>
        <v>35540340</v>
      </c>
      <c r="AC57" s="2351"/>
      <c r="AD57" s="2351"/>
      <c r="AE57" s="2351"/>
      <c r="AF57" s="2352"/>
    </row>
    <row r="58" spans="1:76" ht="12.9" customHeight="1">
      <c r="D58" s="404"/>
      <c r="AB58" s="423"/>
      <c r="AC58" s="423"/>
      <c r="AD58" s="423"/>
      <c r="AE58" s="423"/>
      <c r="AF58" s="423"/>
    </row>
    <row r="59" spans="1:76" ht="12.9" customHeight="1">
      <c r="D59" s="404" t="s">
        <v>753</v>
      </c>
      <c r="AB59" s="2373">
        <f>AB49-AB57</f>
        <v>3898904</v>
      </c>
      <c r="AC59" s="2373"/>
      <c r="AD59" s="2373"/>
      <c r="AE59" s="2373"/>
      <c r="AF59" s="2373"/>
    </row>
    <row r="60" spans="1:76" ht="12.9" customHeight="1">
      <c r="D60" s="404"/>
      <c r="AB60" s="423"/>
      <c r="AC60" s="423"/>
      <c r="AD60" s="423"/>
      <c r="AE60" s="423"/>
      <c r="AF60" s="423"/>
    </row>
    <row r="61" spans="1:76" s="204" customFormat="1" ht="12.9"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 customHeight="1" thickTop="1"/>
    <row r="63" spans="1:76" ht="12.9" customHeight="1">
      <c r="A63" s="404" t="s">
        <v>588</v>
      </c>
      <c r="C63" s="205" t="s">
        <v>1247</v>
      </c>
      <c r="Y63" s="2374" t="s">
        <v>983</v>
      </c>
      <c r="Z63" s="2374"/>
      <c r="AA63" s="2374"/>
      <c r="AB63" s="2374"/>
      <c r="AC63" s="2374"/>
      <c r="AD63" s="2374" t="s">
        <v>368</v>
      </c>
      <c r="AE63" s="2374"/>
      <c r="AF63" s="2374"/>
      <c r="AG63" s="2374"/>
      <c r="AH63" s="2374"/>
    </row>
    <row r="64" spans="1:76" ht="12.9"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81363390</v>
      </c>
      <c r="Z64" s="2375"/>
      <c r="AA64" s="2375"/>
      <c r="AB64" s="2375"/>
      <c r="AC64" s="2376"/>
      <c r="AD64" s="2335">
        <f>IF(AND(OR(Application!D211="At-Risk",Application!D211="At-Risk and Special Needs"),Application!M358="yes"),AD28+AI28,0)</f>
        <v>0</v>
      </c>
      <c r="AE64" s="2375"/>
      <c r="AF64" s="2375"/>
      <c r="AG64" s="2375"/>
      <c r="AH64" s="2376"/>
    </row>
    <row r="65" spans="1:36" ht="12.9"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8" cm="1">
        <f t="array" ref="Y67">_xlfn.IFS(OR(Application!Z205="State Farmworker Credit",Application!Z205="$500M (Farmworker Housing)"),0.75,Application!Z205="15% set-aside",0.13,Application!Z205="15% set-aside with qualifying low value rehab",0.95,Application!Z205="$500M",0.3,TRUE,0)</f>
        <v>0.3</v>
      </c>
      <c r="Z67" s="2388"/>
      <c r="AA67" s="2388"/>
      <c r="AB67" s="2388"/>
      <c r="AC67" s="2388"/>
      <c r="AD67" s="2388" cm="1">
        <f t="array" ref="AD67">_xlfn.IFS(Application!Z205="15% set-aside with qualifying low value rehab", 0.95,OR(Application!D211="At-Risk",'Points System'!B13="Yes"),0.13,TRUE,0)</f>
        <v>0</v>
      </c>
      <c r="AE67" s="2388"/>
      <c r="AF67" s="2388"/>
      <c r="AG67" s="2388"/>
      <c r="AH67" s="2388"/>
    </row>
    <row r="68" spans="1:36" ht="12.9" customHeight="1">
      <c r="C68" s="404"/>
      <c r="D68" s="205" t="s">
        <v>2225</v>
      </c>
      <c r="Y68" s="2334">
        <f>ROUND(Y64*Y67,0)</f>
        <v>24409017</v>
      </c>
      <c r="Z68" s="2389"/>
      <c r="AA68" s="2389"/>
      <c r="AB68" s="2389"/>
      <c r="AC68" s="2389"/>
      <c r="AD68" s="2334">
        <f>ROUND(AD64*AD67,0)</f>
        <v>0</v>
      </c>
      <c r="AE68" s="2389"/>
      <c r="AF68" s="2389"/>
      <c r="AG68" s="2389"/>
      <c r="AH68" s="2389"/>
    </row>
    <row r="69" spans="1:36" ht="12.9" customHeight="1">
      <c r="C69" s="404"/>
      <c r="D69" s="205" t="s">
        <v>2226</v>
      </c>
      <c r="Y69" s="2334">
        <f>IF(OR(Application!Z205="State Farmworker Credit",Application!Z205="$500M (Farmworker Housing)"),Y68+AD68,MIN(Y68+AD68,200000*(Application!G753+Application!O777)))</f>
        <v>18000000</v>
      </c>
      <c r="Z69" s="2334"/>
      <c r="AA69" s="2334"/>
      <c r="AB69" s="2334"/>
      <c r="AC69" s="2334"/>
      <c r="AD69" s="2334"/>
      <c r="AE69" s="2334"/>
      <c r="AF69" s="2334"/>
      <c r="AG69" s="2334"/>
      <c r="AH69" s="2334"/>
    </row>
    <row r="70" spans="1:36" ht="12.9" customHeight="1">
      <c r="C70" s="404"/>
      <c r="E70" s="404"/>
      <c r="AB70" s="422"/>
      <c r="AC70" s="422"/>
      <c r="AD70" s="422"/>
      <c r="AE70" s="422"/>
      <c r="AF70" s="422"/>
    </row>
    <row r="71" spans="1:36" ht="12.9" customHeight="1">
      <c r="A71" s="404" t="s">
        <v>589</v>
      </c>
      <c r="C71" s="205" t="s">
        <v>283</v>
      </c>
    </row>
    <row r="72" spans="1:36" ht="12.9" customHeight="1">
      <c r="A72" s="404"/>
      <c r="C72" s="404"/>
      <c r="D72" s="205" t="s">
        <v>1249</v>
      </c>
      <c r="AB72" s="2377">
        <f>3898904/4755237</f>
        <v>0.81991791366024447</v>
      </c>
      <c r="AC72" s="2378"/>
      <c r="AD72" s="2378"/>
      <c r="AE72" s="2378"/>
      <c r="AF72" s="2379"/>
    </row>
    <row r="73" spans="1:36" ht="12.9" customHeight="1">
      <c r="A73" s="404"/>
      <c r="C73" s="404"/>
      <c r="D73" s="404"/>
      <c r="E73" s="2390" t="s">
        <v>1250</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2.9"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2.9"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1251</v>
      </c>
      <c r="AB77" s="2383">
        <f>ROUND(IF(ISERROR((AB59/AB72)),0,(AB59/AB72)),0)</f>
        <v>4755237</v>
      </c>
      <c r="AC77" s="2383"/>
      <c r="AD77" s="2383"/>
      <c r="AE77" s="2383"/>
      <c r="AF77" s="2383"/>
    </row>
    <row r="78" spans="1:36" ht="12.9" customHeight="1">
      <c r="C78" s="404"/>
      <c r="D78" s="205" t="s">
        <v>1252</v>
      </c>
      <c r="AB78" s="2384">
        <f>ROUNDUP(MIN(Y69,AB77),0)</f>
        <v>4755237</v>
      </c>
      <c r="AC78" s="2385"/>
      <c r="AD78" s="2385"/>
      <c r="AE78" s="2385"/>
      <c r="AF78" s="2386"/>
    </row>
    <row r="79" spans="1:36" ht="12.9" customHeight="1">
      <c r="C79" s="404"/>
      <c r="D79" s="205" t="s">
        <v>1253</v>
      </c>
      <c r="AB79" s="2387">
        <f>AB78*AB72</f>
        <v>3898904</v>
      </c>
      <c r="AC79" s="2387"/>
      <c r="AD79" s="2387"/>
      <c r="AE79" s="2387"/>
      <c r="AF79" s="2387"/>
    </row>
    <row r="80" spans="1:36" ht="12.9" customHeight="1">
      <c r="C80" s="404"/>
      <c r="D80" s="404"/>
      <c r="AB80" s="425"/>
      <c r="AC80" s="425"/>
      <c r="AD80" s="425"/>
      <c r="AE80" s="425"/>
      <c r="AF80" s="425"/>
    </row>
    <row r="81" spans="1:78" ht="12.9" customHeight="1">
      <c r="D81" s="404" t="s">
        <v>753</v>
      </c>
      <c r="AB81" s="2373">
        <f>AB49-(AB57+AB79)</f>
        <v>0</v>
      </c>
      <c r="AC81" s="2373"/>
      <c r="AD81" s="2373"/>
      <c r="AE81" s="2373"/>
      <c r="AF81" s="2373"/>
    </row>
    <row r="82" spans="1:78" ht="12.9" customHeight="1">
      <c r="F82" s="522"/>
      <c r="J82" s="522" t="str">
        <f>IF(AB81&gt;0,"FUNDING GAP MUST NOT EXCEED ZERO","")</f>
        <v/>
      </c>
    </row>
    <row r="83" spans="1:78" ht="12.9" customHeight="1">
      <c r="D83" s="523"/>
    </row>
    <row r="84" spans="1:78" ht="12.9"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 customHeight="1" thickTop="1"/>
    <row r="86" spans="1:78" ht="12.9" customHeight="1">
      <c r="A86" s="404"/>
      <c r="C86" s="205"/>
    </row>
    <row r="87" spans="1:78" ht="12.9" customHeight="1">
      <c r="D87" s="205"/>
      <c r="AB87" s="2339"/>
      <c r="AC87" s="2339"/>
      <c r="AD87" s="2339"/>
      <c r="AE87" s="2339"/>
      <c r="AF87" s="2339"/>
    </row>
    <row r="88" spans="1:78" ht="12.9"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K217" sqref="AK217"/>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1" t="s">
        <v>1299</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1304</v>
      </c>
      <c r="AF7" s="2462"/>
      <c r="AG7" s="2462"/>
      <c r="AH7" s="2462"/>
      <c r="AI7" s="2462"/>
      <c r="AJ7" s="2462"/>
      <c r="AK7" s="2462"/>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590</v>
      </c>
      <c r="C13" s="2615"/>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590</v>
      </c>
      <c r="C16" s="2615"/>
      <c r="D16" s="547"/>
      <c r="E16" s="2607" t="s">
        <v>1306</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590</v>
      </c>
      <c r="C22" s="2615"/>
      <c r="D22" s="547"/>
      <c r="E22" s="2625" t="s">
        <v>1309</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590</v>
      </c>
      <c r="C25" s="2615"/>
      <c r="D25" s="547"/>
      <c r="E25" s="2542" t="s">
        <v>2033</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590</v>
      </c>
      <c r="C28" s="2615"/>
      <c r="D28" s="547"/>
      <c r="E28" s="2644" t="s">
        <v>2249</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5" t="s">
        <v>590</v>
      </c>
      <c r="C33" s="2615"/>
      <c r="D33" s="547"/>
      <c r="E33" s="2625" t="s">
        <v>2251</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590</v>
      </c>
      <c r="C36" s="2615"/>
      <c r="D36" s="547"/>
      <c r="E36" s="2542" t="s">
        <v>2252</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590</v>
      </c>
      <c r="C40" s="2615"/>
      <c r="D40" s="547"/>
      <c r="E40" s="2542" t="s">
        <v>2250</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590</v>
      </c>
      <c r="C45" s="2615"/>
      <c r="D45" s="1142"/>
      <c r="E45" s="2542" t="s">
        <v>2008</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590</v>
      </c>
      <c r="C52" s="2615"/>
      <c r="D52" s="540"/>
      <c r="E52" s="2542" t="s">
        <v>2013</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590</v>
      </c>
      <c r="C56" s="2615"/>
      <c r="D56" s="540"/>
      <c r="E56" s="2641" t="s">
        <v>2014</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590</v>
      </c>
      <c r="C58" s="2615"/>
      <c r="D58" s="540"/>
      <c r="E58" s="2542" t="s">
        <v>2015</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1313</v>
      </c>
      <c r="AF65" s="2462"/>
      <c r="AG65" s="2462"/>
      <c r="AH65" s="2462"/>
      <c r="AI65" s="2462"/>
      <c r="AJ65" s="2462"/>
      <c r="AK65" s="2462"/>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590</v>
      </c>
      <c r="C68" s="2615"/>
      <c r="D68" s="547" t="s">
        <v>1314</v>
      </c>
      <c r="E68" s="2607" t="s">
        <v>2016</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10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1315</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590</v>
      </c>
      <c r="C74" s="2615"/>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590</v>
      </c>
      <c r="F75" s="2615"/>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590</v>
      </c>
      <c r="F76" s="2636"/>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590</v>
      </c>
      <c r="F77" s="2636"/>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590</v>
      </c>
      <c r="F79" s="2615"/>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544</v>
      </c>
      <c r="C81" s="2615"/>
      <c r="D81" s="547" t="s">
        <v>1319</v>
      </c>
      <c r="E81" s="2542" t="s">
        <v>1739</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1304</v>
      </c>
      <c r="AF87" s="2462"/>
      <c r="AG87" s="2462"/>
      <c r="AH87" s="2462"/>
      <c r="AI87" s="2462"/>
      <c r="AJ87" s="2462"/>
      <c r="AK87" s="2462"/>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590</v>
      </c>
      <c r="C90" s="2615"/>
      <c r="D90" s="547" t="s">
        <v>1314</v>
      </c>
      <c r="E90" s="2607" t="s">
        <v>1324</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0.47977528089887633</v>
      </c>
      <c r="F93" s="2604"/>
      <c r="G93" s="2604"/>
      <c r="H93" s="2604"/>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0.12</v>
      </c>
      <c r="F94" s="2409"/>
      <c r="G94" s="2409"/>
      <c r="H94" s="2409"/>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20</v>
      </c>
      <c r="F95" s="2620"/>
      <c r="G95" s="2620"/>
      <c r="H95" s="2620"/>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544</v>
      </c>
      <c r="C98" s="2615"/>
      <c r="D98" s="547" t="s">
        <v>1316</v>
      </c>
      <c r="E98" s="2607" t="s">
        <v>1724</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0.47977528089887633</v>
      </c>
      <c r="F103" s="2604"/>
      <c r="G103" s="2604"/>
      <c r="H103" s="2604"/>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0.34831460674157305</v>
      </c>
      <c r="F104" s="2604"/>
      <c r="G104" s="2604"/>
      <c r="H104" s="2604"/>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0.15730337078651685</v>
      </c>
      <c r="F105" s="2604"/>
      <c r="G105" s="2604"/>
      <c r="H105" s="2604"/>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88">
        <f ca="1">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1313</v>
      </c>
      <c r="AF112" s="2462"/>
      <c r="AG112" s="2462"/>
      <c r="AH112" s="2462"/>
      <c r="AI112" s="2462"/>
      <c r="AJ112" s="2462"/>
      <c r="AK112" s="2462"/>
      <c r="AL112" s="540"/>
      <c r="AM112" s="540"/>
      <c r="AN112" s="535"/>
      <c r="AO112" s="536" t="str">
        <f>Application!B718</f>
        <v>1 Bedroom</v>
      </c>
      <c r="AQ112" s="536">
        <f>Application!O718</f>
        <v>974.40000000000009</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974.40000000000009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974.40000000000009</v>
      </c>
    </row>
    <row r="115" spans="1:52" s="536" customFormat="1" ht="12.75" customHeight="1">
      <c r="A115" s="540"/>
      <c r="B115" s="2615" t="s">
        <v>544</v>
      </c>
      <c r="C115" s="2615"/>
      <c r="D115" s="547" t="s">
        <v>1314</v>
      </c>
      <c r="E115" s="2607" t="s">
        <v>1857</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1 Bedroom</v>
      </c>
      <c r="AQ115" s="536">
        <f>Application!O721</f>
        <v>1716</v>
      </c>
      <c r="AU115" s="536" t="s">
        <v>1839</v>
      </c>
      <c r="AV115" s="595" t="s">
        <v>1840</v>
      </c>
      <c r="AW115" s="536" t="s">
        <v>1841</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2 Bedrooms</v>
      </c>
      <c r="AQ116" s="536">
        <f>Application!O722</f>
        <v>1144</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2 Bedrooms</v>
      </c>
      <c r="AQ117" s="536">
        <f>Application!O723</f>
        <v>2034</v>
      </c>
      <c r="AU117" s="856" t="str">
        <f>J124</f>
        <v>1-bedroom</v>
      </c>
      <c r="AV117" s="536">
        <f t="array" ref="AV117">SUM(IF(Application!B718:F752="1 Bedroom",Application!G718:J752))</f>
        <v>33</v>
      </c>
      <c r="AW117" s="1011">
        <f>AV117/AV122</f>
        <v>0.3707865168539326</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2 Bedrooms</v>
      </c>
      <c r="AQ118" s="536">
        <f>Application!O724</f>
        <v>1144</v>
      </c>
      <c r="AU118" s="856" t="str">
        <f>O124</f>
        <v>2-bedroom</v>
      </c>
      <c r="AV118" s="536">
        <f t="array" ref="AV118">SUM(IF(Application!B718:F752="2 Bedrooms",Application!G718:J752))</f>
        <v>23</v>
      </c>
      <c r="AW118" s="1011">
        <f>AV118/AV122</f>
        <v>0.25842696629213485</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2 Bedrooms</v>
      </c>
      <c r="AQ119" s="536">
        <f>Application!O725</f>
        <v>2479</v>
      </c>
      <c r="AU119" s="856" t="str">
        <f>T124</f>
        <v>3-bedroom</v>
      </c>
      <c r="AV119" s="536">
        <f t="array" ref="AV119">SUM(IF(Application!B718:F752="3 Bedrooms",Application!G718:J752))</f>
        <v>23</v>
      </c>
      <c r="AW119" s="1011">
        <f>AV119/AV122</f>
        <v>0.25842696629213485</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3 Bedrooms</v>
      </c>
      <c r="AQ120" s="536">
        <f>Application!O726</f>
        <v>1294.49</v>
      </c>
      <c r="AU120" s="856" t="str">
        <f>Y124</f>
        <v>4-bedroom</v>
      </c>
      <c r="AV120" s="536">
        <f t="array" ref="AV120">SUM(IF(Application!B718:F752="4 Bedrooms",Application!G718:J752))</f>
        <v>10</v>
      </c>
      <c r="AW120" s="1011">
        <f>AV120/AV122</f>
        <v>0.11235955056179775</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t="str">
        <f>Application!B727</f>
        <v>3 Bedrooms</v>
      </c>
      <c r="AQ121" s="536">
        <f>Application!O727</f>
        <v>1294.5999999999999</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t="str">
        <f>Application!B728</f>
        <v>3 Bedrooms</v>
      </c>
      <c r="AQ122" s="536">
        <f>Application!O728</f>
        <v>2323</v>
      </c>
      <c r="AV122" s="536">
        <f>SUM(AV116:AV121)</f>
        <v>89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2837.2</v>
      </c>
    </row>
    <row r="124" spans="1:52" s="536" customFormat="1" ht="12.75" customHeight="1">
      <c r="A124" s="540"/>
      <c r="B124" s="539"/>
      <c r="C124" s="540"/>
      <c r="D124" s="540"/>
      <c r="E124" s="2603" t="s">
        <v>1587</v>
      </c>
      <c r="F124" s="2604"/>
      <c r="G124" s="2604"/>
      <c r="H124" s="2604"/>
      <c r="I124" s="577"/>
      <c r="J124" s="2604" t="s">
        <v>1630</v>
      </c>
      <c r="K124" s="2604"/>
      <c r="L124" s="2604"/>
      <c r="M124" s="2604"/>
      <c r="N124" s="577"/>
      <c r="O124" s="2604" t="s">
        <v>1631</v>
      </c>
      <c r="P124" s="2604"/>
      <c r="Q124" s="2604"/>
      <c r="R124" s="2604"/>
      <c r="S124" s="577"/>
      <c r="T124" s="2604" t="s">
        <v>1333</v>
      </c>
      <c r="U124" s="2604"/>
      <c r="V124" s="2604"/>
      <c r="W124" s="2604"/>
      <c r="X124" s="577"/>
      <c r="Y124" s="2604" t="s">
        <v>1632</v>
      </c>
      <c r="Z124" s="2604"/>
      <c r="AA124" s="2604"/>
      <c r="AB124" s="2604"/>
      <c r="AC124" s="577"/>
      <c r="AD124" s="2604" t="s">
        <v>1633</v>
      </c>
      <c r="AE124" s="2604"/>
      <c r="AF124" s="2604"/>
      <c r="AG124" s="2604"/>
      <c r="AH124" s="577"/>
      <c r="AI124" s="577"/>
      <c r="AJ124" s="579"/>
      <c r="AK124" s="540"/>
      <c r="AL124" s="540"/>
      <c r="AM124" s="540"/>
      <c r="AN124" s="535"/>
      <c r="AO124" s="536" t="str">
        <f>Application!B730</f>
        <v>4 Bedrooms</v>
      </c>
      <c r="AQ124" s="536">
        <f>Application!O730</f>
        <v>1412.2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4 Bedrooms</v>
      </c>
      <c r="AQ125" s="536">
        <f>Application!O731</f>
        <v>3132.5</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c r="F127" s="2606"/>
      <c r="G127" s="2606"/>
      <c r="H127" s="2606"/>
      <c r="I127" s="864"/>
      <c r="J127" s="2606">
        <v>3008</v>
      </c>
      <c r="K127" s="2606"/>
      <c r="L127" s="2606"/>
      <c r="M127" s="2606"/>
      <c r="N127" s="864"/>
      <c r="O127" s="2606">
        <v>3822</v>
      </c>
      <c r="P127" s="2606"/>
      <c r="Q127" s="2606"/>
      <c r="R127" s="2606"/>
      <c r="S127" s="864"/>
      <c r="T127" s="2606">
        <v>4532</v>
      </c>
      <c r="U127" s="2606"/>
      <c r="V127" s="2606"/>
      <c r="W127" s="2606"/>
      <c r="X127" s="864"/>
      <c r="Y127" s="2606">
        <v>5288</v>
      </c>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1199.1272727272728</v>
      </c>
      <c r="K130" s="2614"/>
      <c r="L130" s="2614"/>
      <c r="M130" s="2614"/>
      <c r="N130" s="864"/>
      <c r="O130" s="2614">
        <f>Application!EH670</f>
        <v>2188.782608695652</v>
      </c>
      <c r="P130" s="2614"/>
      <c r="Q130" s="2614"/>
      <c r="R130" s="2614"/>
      <c r="S130" s="868"/>
      <c r="T130" s="2614">
        <f>Application!EM670</f>
        <v>2613.6299999999997</v>
      </c>
      <c r="U130" s="2614"/>
      <c r="V130" s="2614"/>
      <c r="W130" s="2614"/>
      <c r="X130" s="868"/>
      <c r="Y130" s="2614">
        <f>Application!ER670</f>
        <v>2960.47</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t="e">
        <f>(E127-E130)/E127</f>
        <v>#DIV/0!</v>
      </c>
      <c r="F133" s="2409"/>
      <c r="G133" s="2409"/>
      <c r="H133" s="2410"/>
      <c r="I133" s="577"/>
      <c r="J133" s="2408">
        <f>(J127-J130)/J127</f>
        <v>0.60135396518375239</v>
      </c>
      <c r="K133" s="2409"/>
      <c r="L133" s="2409"/>
      <c r="M133" s="2410"/>
      <c r="N133" s="577"/>
      <c r="O133" s="2408">
        <f>(O127-O130)/O127</f>
        <v>0.42732009191636527</v>
      </c>
      <c r="P133" s="2409"/>
      <c r="Q133" s="2409"/>
      <c r="R133" s="2410"/>
      <c r="S133" s="577"/>
      <c r="T133" s="2408">
        <f>(T127-T130)/T127</f>
        <v>0.42329435127978826</v>
      </c>
      <c r="U133" s="2409"/>
      <c r="V133" s="2409"/>
      <c r="W133" s="2410"/>
      <c r="X133" s="577"/>
      <c r="Y133" s="2408">
        <f>(Y127-Y130)/Y127</f>
        <v>0.4401531770045386</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0.18589529046139136</v>
      </c>
      <c r="K136" s="2617"/>
      <c r="L136" s="2617"/>
      <c r="M136" s="2618"/>
      <c r="N136" s="577"/>
      <c r="O136" s="2616">
        <f>IF(((O133-0.1)*AW118)&gt;0,((O133-0.1)*AW118),0)</f>
        <v>8.4588338360409007E-2</v>
      </c>
      <c r="P136" s="2617"/>
      <c r="Q136" s="2617"/>
      <c r="R136" s="2618"/>
      <c r="S136" s="577"/>
      <c r="T136" s="2616">
        <f>IF(((T133-0.1)*AW119)&gt;0,((T133-0.1)*AW119),0)</f>
        <v>8.3547978420619437E-2</v>
      </c>
      <c r="U136" s="2617"/>
      <c r="V136" s="2617"/>
      <c r="W136" s="2618"/>
      <c r="X136" s="577"/>
      <c r="Y136" s="2616">
        <f>IF(((Y133-0.1)*AW120)&gt;0,((Y133-0.1)*AW120),0)</f>
        <v>3.8219458090397597E-2</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0.39</v>
      </c>
      <c r="F138" s="2409"/>
      <c r="G138" s="2409"/>
      <c r="H138" s="2410"/>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2" t="s">
        <v>1313</v>
      </c>
      <c r="AF146" s="2462"/>
      <c r="AG146" s="2462"/>
      <c r="AH146" s="2462"/>
      <c r="AI146" s="2462"/>
      <c r="AJ146" s="2462"/>
      <c r="AK146" s="2462"/>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1337</v>
      </c>
      <c r="AG148" s="2522"/>
      <c r="AH148" s="2522"/>
      <c r="AI148" s="2522"/>
      <c r="AJ148" s="2522"/>
      <c r="AK148" s="2522"/>
      <c r="AL148" s="2522"/>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2612</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3" t="s">
        <v>1340</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1340</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394" t="s">
        <v>544</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3" t="s">
        <v>1345</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2476</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2477</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2475</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590</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1351</v>
      </c>
      <c r="AG168" s="2522"/>
      <c r="AH168" s="2522"/>
      <c r="AI168" s="2522"/>
      <c r="AJ168" s="2522"/>
      <c r="AK168" s="2522"/>
      <c r="AL168" s="2522"/>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1349</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544</v>
      </c>
      <c r="AG172" s="2394"/>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3" t="s">
        <v>1355</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4" t="str">
        <f>Application!AA335</f>
        <v>The John Stewart Company</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1313</v>
      </c>
      <c r="AF186" s="2462"/>
      <c r="AG186" s="2462"/>
      <c r="AH186" s="2462"/>
      <c r="AI186" s="2462"/>
      <c r="AJ186" s="2462"/>
      <c r="AK186" s="2462"/>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1" t="s">
        <v>1040</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1362</v>
      </c>
      <c r="AG188" s="2522"/>
      <c r="AH188" s="2522"/>
      <c r="AI188" s="2522"/>
      <c r="AJ188" s="2522"/>
      <c r="AK188" s="2522"/>
      <c r="AL188" s="2522"/>
      <c r="AN188" s="597"/>
      <c r="AP188" s="550" t="s">
        <v>1042</v>
      </c>
      <c r="AQ188" s="550">
        <v>10</v>
      </c>
    </row>
    <row r="189" spans="1:73" s="550" customFormat="1" ht="12.75" customHeight="1">
      <c r="A189" s="536"/>
      <c r="B189" s="2393" t="s">
        <v>1725</v>
      </c>
      <c r="C189" s="2393"/>
      <c r="D189" s="2393"/>
      <c r="E189" s="2393"/>
      <c r="F189" s="2393"/>
      <c r="G189" s="2393"/>
      <c r="H189" s="2393"/>
      <c r="I189" s="2393"/>
      <c r="J189" s="2393"/>
      <c r="K189" s="2393"/>
      <c r="L189" s="2393"/>
      <c r="M189" s="2393"/>
      <c r="N189" s="2393"/>
      <c r="O189" s="2393"/>
      <c r="P189" s="2393"/>
      <c r="Q189" s="2393"/>
      <c r="R189" s="2393"/>
      <c r="S189" s="2393"/>
      <c r="T189" s="2592" t="s">
        <v>590</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29">
        <f>IF(AK84&gt;0,VLOOKUP($B$188,AP185:AQ191,2,FALSE),0)</f>
        <v>10</v>
      </c>
      <c r="AL191" s="2430"/>
      <c r="AM191" s="2431"/>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1371</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tr">
        <f>Application!C628</f>
        <v>HCD-CDBG-DR MHP</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f>Application!AO628</f>
        <v>26780431</v>
      </c>
      <c r="AE199" s="2575"/>
      <c r="AF199" s="2575"/>
      <c r="AG199" s="2575"/>
      <c r="AH199" s="2575"/>
      <c r="AI199" s="2575"/>
      <c r="AJ199" s="2575"/>
      <c r="AK199" s="610"/>
    </row>
    <row r="200" spans="1:40">
      <c r="A200" s="605"/>
      <c r="B200" s="2585"/>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1626</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7588352.9379704474</v>
      </c>
      <c r="AE209" s="2573"/>
      <c r="AF209" s="2573"/>
      <c r="AG209" s="2573"/>
      <c r="AH209" s="2573"/>
      <c r="AI209" s="2573"/>
      <c r="AJ209" s="2573"/>
      <c r="AK209" s="610"/>
    </row>
    <row r="210" spans="1:37">
      <c r="A210" s="605"/>
      <c r="B210" s="2447" t="s">
        <v>1589</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79">
        <f>SUM(AD199:AJ209)-AD210</f>
        <v>34368783.937970445</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1606</v>
      </c>
      <c r="J222" s="2598"/>
      <c r="K222" s="2598"/>
      <c r="L222" s="536"/>
      <c r="M222" s="536"/>
      <c r="N222" s="536"/>
      <c r="O222" s="536"/>
      <c r="P222" s="536"/>
      <c r="Q222" s="536"/>
      <c r="R222" s="536"/>
      <c r="S222" s="536"/>
      <c r="T222" s="2413" t="s">
        <v>1600</v>
      </c>
      <c r="U222" s="2413"/>
      <c r="V222" s="2413"/>
      <c r="W222" s="2413"/>
      <c r="X222" s="2413"/>
      <c r="Y222" s="2413"/>
      <c r="Z222" s="849"/>
      <c r="AA222" s="489"/>
      <c r="AB222" s="2595" t="s">
        <v>1601</v>
      </c>
      <c r="AC222" s="2595"/>
      <c r="AD222" s="2595"/>
      <c r="AE222" s="2595"/>
      <c r="AF222" s="2595"/>
      <c r="AG222" s="2595"/>
      <c r="AH222" s="827"/>
      <c r="AI222" s="827"/>
      <c r="AJ222" s="827"/>
      <c r="AK222" s="610"/>
    </row>
    <row r="223" spans="1:37">
      <c r="A223" s="605"/>
      <c r="B223" s="2596" t="s">
        <v>1586</v>
      </c>
      <c r="C223" s="2596"/>
      <c r="D223" s="2596"/>
      <c r="E223" s="2596"/>
      <c r="F223" s="2596"/>
      <c r="G223" s="2596"/>
      <c r="I223" s="2597" t="s">
        <v>1607</v>
      </c>
      <c r="J223" s="2597"/>
      <c r="K223" s="2597"/>
      <c r="L223" s="1008"/>
      <c r="N223" s="2448" t="s">
        <v>1602</v>
      </c>
      <c r="O223" s="2448"/>
      <c r="P223" s="2448"/>
      <c r="Q223" s="2448"/>
      <c r="R223" s="2448"/>
      <c r="T223" s="2448" t="s">
        <v>1603</v>
      </c>
      <c r="U223" s="2448"/>
      <c r="V223" s="2448"/>
      <c r="W223" s="2448"/>
      <c r="X223" s="2448"/>
      <c r="Y223" s="2448"/>
      <c r="Z223" s="850"/>
      <c r="AA223" s="489"/>
      <c r="AB223" s="2463" t="s">
        <v>1604</v>
      </c>
      <c r="AC223" s="2463"/>
      <c r="AD223" s="2463"/>
      <c r="AE223" s="2463"/>
      <c r="AF223" s="2463"/>
      <c r="AG223" s="2463"/>
      <c r="AH223" s="827"/>
      <c r="AI223" s="827"/>
      <c r="AJ223" s="827"/>
      <c r="AK223" s="610"/>
    </row>
    <row r="224" spans="1:37">
      <c r="A224" s="605"/>
      <c r="B224" s="2464" t="s">
        <v>2677</v>
      </c>
      <c r="C224" s="2464"/>
      <c r="D224" s="2464"/>
      <c r="E224" s="2464"/>
      <c r="F224" s="2464"/>
      <c r="G224" s="2464"/>
      <c r="H224" s="852"/>
      <c r="I224" s="2417">
        <v>26</v>
      </c>
      <c r="J224" s="2417"/>
      <c r="K224" s="2417"/>
      <c r="L224" s="1008"/>
      <c r="N224" s="2415">
        <f>1507-Application!T718</f>
        <v>1369</v>
      </c>
      <c r="O224" s="2415"/>
      <c r="P224" s="2415"/>
      <c r="Q224" s="2415"/>
      <c r="R224" s="2415"/>
      <c r="T224" s="2414">
        <f>2878-Application!Q832</f>
        <v>2740</v>
      </c>
      <c r="U224" s="2414"/>
      <c r="V224" s="2414"/>
      <c r="W224" s="2414"/>
      <c r="X224" s="2414"/>
      <c r="Y224" s="2414"/>
      <c r="Z224" s="851"/>
      <c r="AA224" s="851"/>
      <c r="AB224" s="2412">
        <f t="shared" ref="AB224:AB233" si="0">MAX(($T224-$N224)*$I224*12,0)</f>
        <v>427752</v>
      </c>
      <c r="AC224" s="2412"/>
      <c r="AD224" s="2412"/>
      <c r="AE224" s="2412"/>
      <c r="AF224" s="2412"/>
      <c r="AG224" s="2412"/>
      <c r="AH224" s="827"/>
      <c r="AI224" s="827"/>
      <c r="AJ224" s="827"/>
      <c r="AK224" s="610"/>
    </row>
    <row r="225" spans="1:37">
      <c r="A225" s="605"/>
      <c r="B225" s="2464" t="s">
        <v>2677</v>
      </c>
      <c r="C225" s="2464"/>
      <c r="D225" s="2464"/>
      <c r="E225" s="2464"/>
      <c r="F225" s="2464"/>
      <c r="G225" s="2464"/>
      <c r="I225" s="2417">
        <v>7</v>
      </c>
      <c r="J225" s="2417"/>
      <c r="K225" s="2417"/>
      <c r="L225" s="1008"/>
      <c r="N225" s="2415">
        <f>1507-Application!Q832</f>
        <v>1369</v>
      </c>
      <c r="O225" s="2415"/>
      <c r="P225" s="2415"/>
      <c r="Q225" s="2415"/>
      <c r="R225" s="2415"/>
      <c r="T225" s="2414">
        <f>3085-Application!Q832</f>
        <v>2947</v>
      </c>
      <c r="U225" s="2414"/>
      <c r="V225" s="2414"/>
      <c r="W225" s="2414"/>
      <c r="X225" s="2414"/>
      <c r="Y225" s="2414"/>
      <c r="Z225" s="851"/>
      <c r="AA225" s="851"/>
      <c r="AB225" s="2412">
        <f t="shared" si="0"/>
        <v>132552</v>
      </c>
      <c r="AC225" s="2412"/>
      <c r="AD225" s="2412"/>
      <c r="AE225" s="2412"/>
      <c r="AF225" s="2412"/>
      <c r="AG225" s="2412"/>
      <c r="AH225" s="827"/>
      <c r="AI225" s="827"/>
      <c r="AJ225" s="827"/>
      <c r="AK225" s="610"/>
    </row>
    <row r="226" spans="1:37">
      <c r="A226" s="605"/>
      <c r="B226" s="2464" t="s">
        <v>2678</v>
      </c>
      <c r="C226" s="2464"/>
      <c r="D226" s="2464"/>
      <c r="E226" s="2464"/>
      <c r="F226" s="2464"/>
      <c r="G226" s="2464"/>
      <c r="I226" s="2417">
        <v>5</v>
      </c>
      <c r="J226" s="2417"/>
      <c r="K226" s="2417"/>
      <c r="L226" s="1008"/>
      <c r="N226" s="2415">
        <f>1809-Application!U832</f>
        <v>1618</v>
      </c>
      <c r="O226" s="2415"/>
      <c r="P226" s="2415"/>
      <c r="Q226" s="2415"/>
      <c r="R226" s="2415"/>
      <c r="T226" s="2414">
        <f>3786-Application!U832</f>
        <v>3595</v>
      </c>
      <c r="U226" s="2414"/>
      <c r="V226" s="2414"/>
      <c r="W226" s="2414"/>
      <c r="X226" s="2414"/>
      <c r="Y226" s="2414"/>
      <c r="Z226" s="851"/>
      <c r="AA226" s="851"/>
      <c r="AB226" s="2412">
        <f t="shared" si="0"/>
        <v>118620</v>
      </c>
      <c r="AC226" s="2412"/>
      <c r="AD226" s="2412"/>
      <c r="AE226" s="2412"/>
      <c r="AF226" s="2412"/>
      <c r="AG226" s="2412"/>
      <c r="AH226" s="827"/>
      <c r="AI226" s="827"/>
      <c r="AJ226" s="827"/>
      <c r="AK226" s="610"/>
    </row>
    <row r="227" spans="1:37">
      <c r="A227" s="605"/>
      <c r="B227" s="2464" t="s">
        <v>2678</v>
      </c>
      <c r="C227" s="2464"/>
      <c r="D227" s="2464"/>
      <c r="E227" s="2464"/>
      <c r="F227" s="2464"/>
      <c r="G227" s="2464"/>
      <c r="I227" s="2417">
        <v>2</v>
      </c>
      <c r="J227" s="2417"/>
      <c r="K227" s="2417"/>
      <c r="L227" s="1008"/>
      <c r="N227" s="2415">
        <f>1809-Application!U832</f>
        <v>1618</v>
      </c>
      <c r="O227" s="2415"/>
      <c r="P227" s="2415"/>
      <c r="Q227" s="2415"/>
      <c r="R227" s="2415"/>
      <c r="T227" s="2414">
        <f>4054-Application!U832</f>
        <v>3863</v>
      </c>
      <c r="U227" s="2414"/>
      <c r="V227" s="2414"/>
      <c r="W227" s="2414"/>
      <c r="X227" s="2414"/>
      <c r="Y227" s="2414"/>
      <c r="Z227" s="851"/>
      <c r="AA227" s="851"/>
      <c r="AB227" s="2412">
        <f t="shared" si="0"/>
        <v>53880</v>
      </c>
      <c r="AC227" s="2412"/>
      <c r="AD227" s="2412"/>
      <c r="AE227" s="2412"/>
      <c r="AF227" s="2412"/>
      <c r="AG227" s="2412"/>
      <c r="AH227" s="827"/>
      <c r="AI227" s="827"/>
      <c r="AJ227" s="827"/>
      <c r="AK227" s="610"/>
    </row>
    <row r="228" spans="1:37">
      <c r="A228" s="605"/>
      <c r="B228" s="2464" t="s">
        <v>2679</v>
      </c>
      <c r="C228" s="2464"/>
      <c r="D228" s="2464"/>
      <c r="E228" s="2464"/>
      <c r="F228" s="2464"/>
      <c r="G228" s="2464"/>
      <c r="I228" s="2417">
        <v>1</v>
      </c>
      <c r="J228" s="2417"/>
      <c r="K228" s="2417"/>
      <c r="L228" s="1015"/>
      <c r="N228" s="2415">
        <f>2089-Application!Y832</f>
        <v>1841</v>
      </c>
      <c r="O228" s="2415"/>
      <c r="P228" s="2415"/>
      <c r="Q228" s="2415"/>
      <c r="R228" s="2415"/>
      <c r="T228" s="2414">
        <f>5100-Application!Y832</f>
        <v>4852</v>
      </c>
      <c r="U228" s="2414"/>
      <c r="V228" s="2414"/>
      <c r="W228" s="2414"/>
      <c r="X228" s="2414"/>
      <c r="Y228" s="2414"/>
      <c r="Z228" s="851"/>
      <c r="AA228" s="851"/>
      <c r="AB228" s="2412">
        <f t="shared" si="0"/>
        <v>36132</v>
      </c>
      <c r="AC228" s="2412"/>
      <c r="AD228" s="2412"/>
      <c r="AE228" s="2412"/>
      <c r="AF228" s="2412"/>
      <c r="AG228" s="2412"/>
      <c r="AH228" s="827"/>
      <c r="AI228" s="827"/>
      <c r="AJ228" s="827"/>
      <c r="AK228" s="610"/>
    </row>
    <row r="229" spans="1:37">
      <c r="A229" s="605"/>
      <c r="B229" s="2464" t="s">
        <v>2680</v>
      </c>
      <c r="C229" s="2464"/>
      <c r="D229" s="2464"/>
      <c r="E229" s="2464"/>
      <c r="F229" s="2464"/>
      <c r="G229" s="2464"/>
      <c r="I229" s="2417">
        <v>1</v>
      </c>
      <c r="J229" s="2417"/>
      <c r="K229" s="2417"/>
      <c r="L229" s="1015"/>
      <c r="N229" s="2415">
        <f>2331-Application!AC832</f>
        <v>2023</v>
      </c>
      <c r="O229" s="2415"/>
      <c r="P229" s="2415"/>
      <c r="Q229" s="2415"/>
      <c r="R229" s="2415"/>
      <c r="T229" s="2414">
        <f>6200-Application!AC832</f>
        <v>5892</v>
      </c>
      <c r="U229" s="2414"/>
      <c r="V229" s="2414"/>
      <c r="W229" s="2414"/>
      <c r="X229" s="2414"/>
      <c r="Y229" s="2414"/>
      <c r="Z229" s="851"/>
      <c r="AA229" s="851"/>
      <c r="AB229" s="2412">
        <f t="shared" si="0"/>
        <v>46428</v>
      </c>
      <c r="AC229" s="2412"/>
      <c r="AD229" s="2412"/>
      <c r="AE229" s="2412"/>
      <c r="AF229" s="2412"/>
      <c r="AG229" s="2412"/>
      <c r="AH229" s="827"/>
      <c r="AI229" s="827"/>
      <c r="AJ229" s="827"/>
      <c r="AK229" s="610"/>
    </row>
    <row r="230" spans="1:37">
      <c r="A230" s="605"/>
      <c r="B230" s="2464" t="s">
        <v>1183</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1183</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1183</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1183</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2">
        <f>SUM(AB224:AB233)</f>
        <v>815364</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815364</v>
      </c>
      <c r="AC250" s="2412"/>
      <c r="AD250" s="2412"/>
      <c r="AE250" s="2412"/>
      <c r="AF250" s="2412"/>
      <c r="AG250" s="2412"/>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774595.8</v>
      </c>
      <c r="AC252" s="2584"/>
      <c r="AD252" s="2584"/>
      <c r="AE252" s="2584"/>
      <c r="AF252" s="2584"/>
      <c r="AG252" s="2584"/>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673561.56521739135</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7588352.9379704474</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34368783.937970445</v>
      </c>
      <c r="AH268" s="2426"/>
      <c r="AI268" s="2426"/>
      <c r="AJ268" s="2426"/>
      <c r="AK268" s="2426"/>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94872063</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0.72</v>
      </c>
      <c r="AH270" s="2572"/>
      <c r="AI270" s="2572"/>
      <c r="AJ270" s="2572"/>
      <c r="AK270" s="2572"/>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1">
        <f>IFERROR(IF(AG270=0,0,IF((AG270*100)&gt;8,8,(AG270*100))),0)</f>
        <v>8</v>
      </c>
      <c r="AL273" s="2561"/>
      <c r="AM273" s="2562"/>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3" t="s">
        <v>544</v>
      </c>
      <c r="D278" s="2443"/>
      <c r="E278" s="547"/>
      <c r="F278" s="2395" t="s">
        <v>2024</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1362</v>
      </c>
      <c r="AH278" s="2570"/>
      <c r="AI278" s="2570"/>
      <c r="AJ278" s="2570"/>
      <c r="AK278" s="550"/>
      <c r="AL278" s="550"/>
      <c r="AM278" s="550"/>
      <c r="AO278" s="550"/>
    </row>
    <row r="279" spans="1:52" ht="13.6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6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1">
        <f>IF($C$278="yes",10,0)</f>
        <v>10</v>
      </c>
      <c r="AL285" s="2561"/>
      <c r="AM285" s="2562"/>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1381</v>
      </c>
      <c r="B292" s="1637"/>
      <c r="C292" s="2394" t="s">
        <v>544</v>
      </c>
      <c r="D292" s="2443"/>
      <c r="E292" s="547"/>
      <c r="F292" s="2563" t="s">
        <v>1382</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2017</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1" t="s">
        <v>2025</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1383</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1384</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1385</v>
      </c>
      <c r="B302" s="1637"/>
      <c r="C302" s="2443" t="s">
        <v>590</v>
      </c>
      <c r="D302" s="2443"/>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5" t="s">
        <v>2019</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7" t="s">
        <v>1388</v>
      </c>
      <c r="B310" s="1637"/>
      <c r="C310" s="2443" t="s">
        <v>590</v>
      </c>
      <c r="D310" s="2443"/>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21" t="s">
        <v>2026</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1183</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1183</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4" t="s">
        <v>1183</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4" t="s">
        <v>1183</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7" t="s">
        <v>1391</v>
      </c>
      <c r="B333" s="1637"/>
      <c r="C333" s="2443" t="s">
        <v>590</v>
      </c>
      <c r="D333" s="2443"/>
      <c r="E333" s="547"/>
      <c r="F333" s="2542" t="s">
        <v>2027</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29">
        <f>IF(NOT(OR(Application!M355="Yes",Application!M356="Yes")),0,AP295)</f>
        <v>10</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62" t="s">
        <v>1313</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1453</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5"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2092</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2207</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1454</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2"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85"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5</v>
      </c>
      <c r="AS357" s="539" t="s">
        <v>1455</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0</v>
      </c>
      <c r="AS359" s="539" t="s">
        <v>1456</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5</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580</v>
      </c>
      <c r="AP361" s="696">
        <f>IF(C407="Yes",5,0)</f>
        <v>0</v>
      </c>
      <c r="AS361" s="539" t="s">
        <v>1878</v>
      </c>
    </row>
    <row r="362" spans="1:46" s="550" customFormat="1" ht="12.75" customHeight="1">
      <c r="A362" s="603"/>
      <c r="B362" s="611"/>
      <c r="C362" s="2532" t="s">
        <v>2232</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762</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583</v>
      </c>
      <c r="AP364" s="696">
        <f>IF(C421="Yes",5,0)</f>
        <v>0</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5"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226</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38" t="s">
        <v>1457</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455</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460</v>
      </c>
      <c r="AP370" s="696">
        <f>IF(C449="Yes",5,0)</f>
        <v>0</v>
      </c>
    </row>
    <row r="371" spans="1:81" s="550" customFormat="1" ht="68.099999999999994"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645</v>
      </c>
      <c r="AP371" s="701">
        <f>IF(C453="Yes",5,0)</f>
        <v>0</v>
      </c>
    </row>
    <row r="372" spans="1:81" s="550" customFormat="1" ht="12.45"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9">
        <f>Application!DU802-U374</f>
        <v>151</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37</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1">
        <f>IF(AP375&gt;0,AP375,0)</f>
        <v>0</v>
      </c>
      <c r="AR375" s="2441"/>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2" t="s">
        <v>1459</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544</v>
      </c>
      <c r="D381" s="2443"/>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1461</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2" t="s">
        <v>1462</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590</v>
      </c>
      <c r="D389" s="2443"/>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1461</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2" t="s">
        <v>1464</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590</v>
      </c>
      <c r="D397" s="2443"/>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1466</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544</v>
      </c>
      <c r="D399" s="2443"/>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1461</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2" t="s">
        <v>1470</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590</v>
      </c>
      <c r="D407" s="2443"/>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1461</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590</v>
      </c>
      <c r="D409" s="2443"/>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1473</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590</v>
      </c>
      <c r="D412" s="2443"/>
      <c r="E412" s="715" t="s">
        <v>1474</v>
      </c>
      <c r="F412" s="2432" t="s">
        <v>1475</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1461</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2" t="s">
        <v>1477</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590</v>
      </c>
      <c r="D421" s="2443"/>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1461</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590</v>
      </c>
      <c r="D423" s="2443"/>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1473</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2" t="s">
        <v>1481</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5"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590</v>
      </c>
      <c r="D430" s="2443"/>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1461</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1483</v>
      </c>
      <c r="F433" s="2432" t="s">
        <v>1484</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590</v>
      </c>
      <c r="D442" s="2443"/>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1461</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2" t="s">
        <v>1487</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590</v>
      </c>
      <c r="D449" s="2443"/>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1461</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590</v>
      </c>
      <c r="D453" s="2559"/>
      <c r="E453" s="715" t="s">
        <v>1496</v>
      </c>
      <c r="F453" s="2432" t="s">
        <v>1497</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1461</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7"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590</v>
      </c>
      <c r="D457" s="2443"/>
      <c r="E457" s="715" t="s">
        <v>1502</v>
      </c>
      <c r="F457" s="2432" t="s">
        <v>1503</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1461</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2" t="s">
        <v>1506</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590</v>
      </c>
      <c r="D466" s="2443"/>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1461</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444" t="s">
        <v>1510</v>
      </c>
      <c r="AF472" s="2444"/>
      <c r="AG472" s="2444"/>
      <c r="AH472" s="2444"/>
      <c r="AI472" s="2444"/>
      <c r="AJ472" s="2444"/>
      <c r="AK472" s="2444"/>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1" t="s">
        <v>590</v>
      </c>
      <c r="D478" s="2452"/>
      <c r="E478" s="761" t="s">
        <v>506</v>
      </c>
      <c r="F478" s="2529" t="s">
        <v>1516</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57" t="s">
        <v>590</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58" t="s">
        <v>544</v>
      </c>
      <c r="D482" s="2459"/>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37" t="s">
        <v>590</v>
      </c>
      <c r="W485" s="2437"/>
      <c r="X485" s="2437"/>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37" t="s">
        <v>590</v>
      </c>
      <c r="W487" s="2437"/>
      <c r="X487" s="2437"/>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37" t="s">
        <v>590</v>
      </c>
      <c r="W492" s="2437"/>
      <c r="X492" s="2437"/>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6"/>
      <c r="E495" s="2456"/>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37" t="s">
        <v>590</v>
      </c>
      <c r="W496" s="2437"/>
      <c r="X496" s="2437"/>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37" t="s">
        <v>590</v>
      </c>
      <c r="W498" s="2437"/>
      <c r="X498" s="2437"/>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590</v>
      </c>
      <c r="D501" s="2452"/>
      <c r="E501" s="761" t="s">
        <v>506</v>
      </c>
      <c r="F501" s="2529" t="s">
        <v>1516</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590</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590</v>
      </c>
      <c r="D505" s="2452"/>
      <c r="E505" s="761" t="s">
        <v>756</v>
      </c>
      <c r="F505" s="2453" t="s">
        <v>1538</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590</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590</v>
      </c>
      <c r="D510" s="2452"/>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590</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590</v>
      </c>
      <c r="D515" s="2524"/>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590</v>
      </c>
      <c r="D519" s="2524"/>
      <c r="F519" s="795" t="s">
        <v>1546</v>
      </c>
      <c r="G519" s="2433" t="s">
        <v>1547</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590</v>
      </c>
      <c r="D523" s="2526"/>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590</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1559</v>
      </c>
      <c r="AF538" s="2462"/>
      <c r="AG538" s="2462"/>
      <c r="AH538" s="2462"/>
      <c r="AI538" s="2462"/>
      <c r="AJ538" s="2462"/>
      <c r="AK538" s="2462"/>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544</v>
      </c>
      <c r="D541" s="2443"/>
      <c r="E541" s="551"/>
      <c r="F541" s="2465" t="s">
        <v>1560</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590</v>
      </c>
      <c r="D544" s="2443"/>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1562</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1563</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53460066</v>
      </c>
      <c r="AQ550" s="2420"/>
      <c r="AR550" s="2420"/>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81363390</v>
      </c>
      <c r="AG551" s="2426"/>
      <c r="AH551" s="2426"/>
      <c r="AI551" s="2426"/>
      <c r="AJ551" s="2426"/>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124313153.00000003</v>
      </c>
      <c r="AG552" s="2427"/>
      <c r="AH552" s="2427"/>
      <c r="AI552" s="2427"/>
      <c r="AJ552" s="2427"/>
      <c r="AK552" s="595"/>
      <c r="AL552" s="595"/>
      <c r="AM552" s="595"/>
      <c r="AN552" s="597"/>
      <c r="AP552" s="2420">
        <f>Application!AJ1045</f>
        <v>8019009.8999999994</v>
      </c>
      <c r="AQ552" s="2420"/>
      <c r="AR552" s="24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0.34</v>
      </c>
      <c r="AG553" s="2428"/>
      <c r="AH553" s="2428"/>
      <c r="AI553" s="2428"/>
      <c r="AJ553" s="2428"/>
      <c r="AK553" s="595"/>
      <c r="AL553" s="595"/>
      <c r="AM553" s="595"/>
      <c r="AN553" s="597"/>
      <c r="AP553" s="2416">
        <f>Application!AJ1049</f>
        <v>36352844.880000003</v>
      </c>
      <c r="AQ553" s="2416"/>
      <c r="AR553" s="2416"/>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2171</v>
      </c>
    </row>
    <row r="555" spans="1:49" s="550" customFormat="1" ht="12.75" customHeight="1">
      <c r="A555" s="624"/>
      <c r="B555" s="2502" t="s">
        <v>2031</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81545100.200000018</v>
      </c>
      <c r="AQ556" s="2436"/>
      <c r="AR556" s="2436"/>
      <c r="AS556" s="550" t="s">
        <v>2173</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125916954.98000002</v>
      </c>
      <c r="AQ557" s="2420"/>
      <c r="AR557" s="24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1">
        <f>IFERROR(IF(AND(C541="N/A",C544="N/A"),0,IF(AF553=0,0,IF((AF553*100)&gt;12,12,(AF553*100)))),0)</f>
        <v>12</v>
      </c>
      <c r="AL559" s="2511"/>
      <c r="AM559" s="2512"/>
      <c r="AN559" s="597"/>
      <c r="AP559" s="2405">
        <f>AP556+(AP550*AP554)</f>
        <v>124313153.00000003</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1313</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2022</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1337</v>
      </c>
      <c r="AG578" s="2522"/>
      <c r="AH578" s="2522"/>
      <c r="AI578" s="2522"/>
      <c r="AJ578" s="2522"/>
      <c r="AK578" s="2522"/>
      <c r="AL578" s="2522"/>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1395</v>
      </c>
      <c r="AG585" s="2522"/>
      <c r="AH585" s="2522"/>
      <c r="AI585" s="2522"/>
      <c r="AJ585" s="2522"/>
      <c r="AK585" s="2522"/>
      <c r="AL585" s="2522"/>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1377</v>
      </c>
      <c r="AG591" s="2522"/>
      <c r="AH591" s="2522"/>
      <c r="AI591" s="2522"/>
      <c r="AJ591" s="2522"/>
      <c r="AK591" s="2522"/>
      <c r="AL591" s="2522"/>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1398</v>
      </c>
      <c r="AG597" s="2522"/>
      <c r="AH597" s="2522"/>
      <c r="AI597" s="2522"/>
      <c r="AJ597" s="2522"/>
      <c r="AK597" s="2522"/>
      <c r="AL597" s="2522"/>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8" t="s">
        <v>1183</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1351</v>
      </c>
      <c r="AG603" s="2522"/>
      <c r="AH603" s="2522"/>
      <c r="AI603" s="2522"/>
      <c r="AJ603" s="2522"/>
      <c r="AK603" s="2522"/>
      <c r="AL603" s="2522"/>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446" t="s">
        <v>686</v>
      </c>
      <c r="I606" s="2446"/>
      <c r="J606" s="936"/>
      <c r="K606" s="936"/>
      <c r="L606" s="936"/>
      <c r="N606" s="22"/>
      <c r="O606" s="22"/>
      <c r="P606" s="22"/>
      <c r="Q606" s="1151" t="s">
        <v>2176</v>
      </c>
      <c r="R606" s="2539"/>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37" t="s">
        <v>590</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4" t="s">
        <v>590</v>
      </c>
      <c r="C616" s="2394"/>
      <c r="D616" s="642"/>
      <c r="E616" s="2422" t="s">
        <v>1402</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29">
        <f>VLOOKUP($H$606,$AO$586:$AP$591,2,FALSE)+IF(R606=AO594,0,VLOOKUP($I$614,$AO$613:$AP$615,2,FALSE))</f>
        <v>7</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6" t="s">
        <v>1693</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1351</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4" t="s">
        <v>590</v>
      </c>
      <c r="Y634" s="2394"/>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1407</v>
      </c>
      <c r="AG636" s="2522"/>
      <c r="AH636" s="2522"/>
      <c r="AI636" s="2522"/>
      <c r="AJ636" s="2522"/>
      <c r="AK636" s="2522"/>
      <c r="AL636" s="2522"/>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6" t="s">
        <v>686</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29">
        <f>VLOOKUP($H$638,$AO$605:$AP$607,2,FALSE)</f>
        <v>3</v>
      </c>
      <c r="AK640" s="2431"/>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22" t="s">
        <v>2097</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1351</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1407</v>
      </c>
      <c r="AG647" s="2522"/>
      <c r="AH647" s="2522"/>
      <c r="AI647" s="2522"/>
      <c r="AJ647" s="2522"/>
      <c r="AK647" s="2522"/>
      <c r="AL647" s="2522"/>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6" t="s">
        <v>508</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29">
        <f>VLOOKUP(H650,AT605:AU607,2,FALSE)</f>
        <v>2</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22" t="s">
        <v>1417</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1377</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22" t="s">
        <v>1418</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1398</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2" t="s">
        <v>1419</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1351</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590</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22" t="s">
        <v>1420</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1398</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2" t="s">
        <v>1421</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1351</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2" t="s">
        <v>1422</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1407</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22" t="s">
        <v>1423</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1424</v>
      </c>
      <c r="AG681" s="2522"/>
      <c r="AH681" s="2522"/>
      <c r="AI681" s="2522"/>
      <c r="AJ681" s="2522"/>
      <c r="AK681" s="2522"/>
      <c r="AL681" s="2522"/>
      <c r="AM681" s="596"/>
      <c r="AN681" s="597"/>
      <c r="AO681" s="611" t="s">
        <v>686</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6" t="s">
        <v>686</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29">
        <f>VLOOKUP($H$685,$AO$633:$AP$640,2,FALSE)</f>
        <v>5</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32</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89</v>
      </c>
    </row>
    <row r="691" spans="1:51" s="550" customFormat="1" ht="12.75" customHeight="1">
      <c r="A691" s="679"/>
      <c r="B691" s="536"/>
      <c r="C691" s="948"/>
      <c r="D691" s="663" t="s">
        <v>686</v>
      </c>
      <c r="E691" s="2392" t="s">
        <v>2189</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1351</v>
      </c>
      <c r="AG691" s="2522"/>
      <c r="AH691" s="2522"/>
      <c r="AI691" s="2522"/>
      <c r="AJ691" s="2522"/>
      <c r="AK691" s="2522"/>
      <c r="AL691" s="2522"/>
      <c r="AN691" s="597"/>
      <c r="AW691" s="22" t="s">
        <v>2184</v>
      </c>
      <c r="AX691" s="550">
        <f>Application!DE753</f>
        <v>23</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2185</v>
      </c>
      <c r="AX692" s="550">
        <f>Application!DJ753</f>
        <v>10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508</v>
      </c>
      <c r="E694" s="2422" t="s">
        <v>2133</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1351</v>
      </c>
      <c r="AG694" s="2522"/>
      <c r="AH694" s="2522"/>
      <c r="AI694" s="2522"/>
      <c r="AJ694" s="2522"/>
      <c r="AK694" s="2522"/>
      <c r="AL694" s="2522"/>
      <c r="AN694" s="597"/>
      <c r="AW694" s="22" t="s">
        <v>2187</v>
      </c>
      <c r="AX694" s="550">
        <f>AX691+AX692+AX693</f>
        <v>33</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2188</v>
      </c>
      <c r="AX695" s="550">
        <f>IFERROR(AX694/AX690,0)</f>
        <v>0.3707865168539326</v>
      </c>
      <c r="AY695" s="550">
        <f>IFERROR(AX694/(AX690-AX689),0)</f>
        <v>0.57894736842105265</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22" t="s">
        <v>2134</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1407</v>
      </c>
      <c r="AG699" s="2522"/>
      <c r="AH699" s="2522"/>
      <c r="AI699" s="2522"/>
      <c r="AJ699" s="2522"/>
      <c r="AK699" s="2522"/>
      <c r="AL699" s="2522"/>
      <c r="AN699" s="597"/>
      <c r="AO699" s="611" t="s">
        <v>508</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22" t="s">
        <v>1692</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6" t="s">
        <v>686</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9">
        <f>VLOOKUP($H$709,$AO$703:$AP$706,2,FALSE)</f>
        <v>3</v>
      </c>
      <c r="AK711" s="2431"/>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4" t="s">
        <v>1694</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1351</v>
      </c>
      <c r="AG715" s="2522"/>
      <c r="AH715" s="2522"/>
      <c r="AI715" s="2522"/>
      <c r="AJ715" s="2522"/>
      <c r="AK715" s="2522"/>
      <c r="AL715" s="2522"/>
      <c r="AM715" s="550"/>
      <c r="AN715" s="684"/>
      <c r="AP715" s="570" t="s">
        <v>1431</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1432</v>
      </c>
    </row>
    <row r="717" spans="1:43" s="570" customFormat="1" ht="13.95"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1433</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5" customHeight="1">
      <c r="A719" s="550"/>
      <c r="B719" s="536"/>
      <c r="C719" s="931"/>
      <c r="D719" s="663" t="s">
        <v>508</v>
      </c>
      <c r="E719" s="2535" t="s">
        <v>1434</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1407</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590</v>
      </c>
      <c r="AQ720" s="673">
        <v>0</v>
      </c>
    </row>
    <row r="721" spans="1:81" s="570" customFormat="1" ht="13.95"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686</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5" customHeight="1">
      <c r="A723" s="550"/>
      <c r="B723" s="536"/>
      <c r="C723" s="933"/>
      <c r="D723" s="536" t="s">
        <v>1399</v>
      </c>
      <c r="E723" s="936"/>
      <c r="F723" s="936"/>
      <c r="G723" s="936"/>
      <c r="H723" s="2446" t="s">
        <v>590</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22" t="s">
        <v>1695</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1351</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22" t="s">
        <v>1438</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1407</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6" t="s">
        <v>686</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29">
        <f>VLOOKUP($H$735,$AO$666:$AP$668,2,FALSE)</f>
        <v>3</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22" t="s">
        <v>1441</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1351</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22" t="s">
        <v>1442</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1407</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6" t="s">
        <v>508</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29">
        <f>VLOOKUP($H$751,$AO$680:$AP$682,2,FALSE)</f>
        <v>2</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22" t="s">
        <v>1444</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1407</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22" t="s">
        <v>1445</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1424</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6" t="s">
        <v>686</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29">
        <f>VLOOKUP($H$763,$AO$697:$AP$699,2,FALSE)</f>
        <v>2</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686</v>
      </c>
      <c r="E769" s="2422" t="s">
        <v>1691</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1407</v>
      </c>
      <c r="AG769" s="2522"/>
      <c r="AH769" s="2522"/>
      <c r="AI769" s="2522"/>
      <c r="AJ769" s="2522"/>
      <c r="AK769" s="2522"/>
      <c r="AL769" s="2522"/>
      <c r="AM769" s="613"/>
      <c r="AN769" s="684"/>
      <c r="AO769" s="550" t="s">
        <v>590</v>
      </c>
      <c r="AP769" s="673">
        <v>0</v>
      </c>
    </row>
    <row r="770" spans="1:81" s="570" customFormat="1" ht="13.6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3" t="s">
        <v>1696</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1351</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6" t="s">
        <v>590</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686</v>
      </c>
      <c r="E785" s="2422" t="s">
        <v>2032</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1351</v>
      </c>
      <c r="AG785" s="2522"/>
      <c r="AH785" s="2522"/>
      <c r="AI785" s="2522"/>
      <c r="AJ785" s="2522"/>
      <c r="AK785" s="2522"/>
      <c r="AL785" s="2522"/>
      <c r="AM785" s="613"/>
      <c r="AN785" s="684"/>
      <c r="AO785" s="611" t="s">
        <v>544</v>
      </c>
      <c r="AP785" s="550">
        <v>3</v>
      </c>
      <c r="AT785" s="674"/>
      <c r="AU785" s="674"/>
      <c r="AV785" s="674"/>
      <c r="AW785" s="674"/>
      <c r="AX785" s="674"/>
      <c r="AY785" s="674"/>
      <c r="AZ785" s="674"/>
    </row>
    <row r="786" spans="1:81" s="570" customFormat="1" ht="13.6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6" t="s">
        <v>544</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29">
        <f>VLOOKUP($H$790,$AO$784:$AP$785,2,FALSE)</f>
        <v>3</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1567</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1568</v>
      </c>
      <c r="U802" s="2517"/>
      <c r="V802" s="2517"/>
      <c r="W802" s="2517"/>
      <c r="X802" s="2517"/>
      <c r="Y802" s="2518"/>
      <c r="Z802" s="2516" t="s">
        <v>1569</v>
      </c>
      <c r="AA802" s="2517"/>
      <c r="AB802" s="2517"/>
      <c r="AC802" s="2517"/>
      <c r="AD802" s="2517"/>
      <c r="AE802" s="2518"/>
      <c r="AF802" s="2516" t="s">
        <v>1570</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756</v>
      </c>
      <c r="B804" s="2473" t="s">
        <v>1303</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1540</v>
      </c>
      <c r="B805" s="2473" t="s">
        <v>1312</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1549</v>
      </c>
      <c r="B806" s="2473" t="s">
        <v>1322</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8"/>
      <c r="AM806" s="596"/>
      <c r="AO806" s="816"/>
      <c r="AP806" s="816"/>
      <c r="AQ806" s="816"/>
    </row>
    <row r="807" spans="1:81">
      <c r="A807" s="819" t="s">
        <v>1571</v>
      </c>
      <c r="B807" s="2473" t="s">
        <v>1332</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1572</v>
      </c>
      <c r="B808" s="2473" t="s">
        <v>1573</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1574</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1575</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1360</v>
      </c>
      <c r="B811" s="2473" t="s">
        <v>1576</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1369</v>
      </c>
      <c r="B812" s="2473" t="s">
        <v>1370</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588</v>
      </c>
      <c r="B813" s="2473" t="s">
        <v>1577</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73" t="s">
        <v>1578</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73" t="s">
        <v>1380</v>
      </c>
      <c r="C815" s="2473"/>
      <c r="D815" s="2473"/>
      <c r="E815" s="2473"/>
      <c r="F815" s="2473"/>
      <c r="G815" s="2473"/>
      <c r="H815" s="2473"/>
      <c r="I815" s="2473"/>
      <c r="J815" s="2473"/>
      <c r="K815" s="2473"/>
      <c r="L815" s="2473"/>
      <c r="M815" s="2473"/>
      <c r="N815" s="2473"/>
      <c r="O815" s="2473"/>
      <c r="P815" s="2473"/>
      <c r="Q815" s="2473"/>
      <c r="R815" s="2473"/>
      <c r="S815" s="2474"/>
      <c r="T815" s="2475">
        <f>AK338</f>
        <v>10</v>
      </c>
      <c r="U815" s="2475"/>
      <c r="V815" s="2475"/>
      <c r="W815" s="2475"/>
      <c r="X815" s="2475"/>
      <c r="Y815" s="2475"/>
      <c r="Z815" s="2484">
        <v>10</v>
      </c>
      <c r="AA815" s="2485"/>
      <c r="AB815" s="2485"/>
      <c r="AC815" s="2485"/>
      <c r="AD815" s="2485"/>
      <c r="AE815" s="2486"/>
      <c r="AF815" s="2484">
        <f>IF(T815&gt;Z815,Z815,T815)</f>
        <v>10</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1">
        <f>AK338</f>
        <v>10</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73" t="s">
        <v>844</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73" t="s">
        <v>1558</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3" t="s">
        <v>1580</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1581</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1582</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9" t="s">
        <v>1583</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120</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Q9" sqref="Q9"/>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70" t="s">
        <v>1584</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51818442</v>
      </c>
      <c r="I3" s="1105"/>
    </row>
    <row r="4" spans="1:13" s="1051" customFormat="1" ht="20.100000000000001" customHeight="1">
      <c r="B4" s="1094"/>
      <c r="D4" s="1108"/>
      <c r="F4" s="1092" t="s">
        <v>1991</v>
      </c>
      <c r="G4" s="1091" t="s">
        <v>1990</v>
      </c>
      <c r="H4" s="1093">
        <f>I18</f>
        <v>42130141.067483664</v>
      </c>
      <c r="I4" s="1095"/>
      <c r="K4" s="1055"/>
    </row>
    <row r="5" spans="1:13" s="1051" customFormat="1" ht="20.100000000000001" customHeight="1" thickBot="1">
      <c r="B5" s="1096"/>
      <c r="C5" s="1097"/>
      <c r="D5" s="1109"/>
      <c r="E5" s="1098"/>
      <c r="F5" s="1109" t="s">
        <v>1941</v>
      </c>
      <c r="G5" s="1110"/>
      <c r="H5" s="1106">
        <f>IFERROR(H3/H4,0)</f>
        <v>1.22996127444714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1939</v>
      </c>
      <c r="C8" s="2674"/>
      <c r="D8" s="2674"/>
      <c r="E8" s="2675"/>
      <c r="G8" s="2650" t="s">
        <v>1940</v>
      </c>
      <c r="H8" s="2651"/>
      <c r="I8" s="2652"/>
      <c r="K8" s="1057"/>
    </row>
    <row r="9" spans="1:13" ht="15" customHeight="1">
      <c r="A9" s="1046"/>
      <c r="B9" s="2671" t="s">
        <v>1973</v>
      </c>
      <c r="C9" s="2671"/>
      <c r="D9" s="2671"/>
      <c r="E9" s="1059">
        <f>G33</f>
        <v>5637500</v>
      </c>
      <c r="G9" s="2663" t="s">
        <v>1971</v>
      </c>
      <c r="H9" s="2663"/>
      <c r="I9" s="1060">
        <f>SUMIF(Application!M554:M565,"Loan, Tax-Exempt",Application!AM554:AM565)</f>
        <v>47076397</v>
      </c>
      <c r="K9" s="1061"/>
      <c r="M9" s="1062"/>
    </row>
    <row r="10" spans="1:13" ht="15" customHeight="1" thickBot="1">
      <c r="A10" s="1046"/>
      <c r="B10" s="2671" t="s">
        <v>1974</v>
      </c>
      <c r="C10" s="2671"/>
      <c r="D10" s="2671"/>
      <c r="E10" s="1060">
        <f>G47</f>
        <v>34755192</v>
      </c>
      <c r="G10" s="2677" t="s">
        <v>1942</v>
      </c>
      <c r="H10" s="2677"/>
      <c r="I10" s="1140">
        <f>'Basis &amp; Credits'!AB78</f>
        <v>4755237</v>
      </c>
      <c r="M10" s="1062"/>
    </row>
    <row r="11" spans="1:13" ht="15" customHeight="1">
      <c r="A11" s="1046"/>
      <c r="B11" s="2664" t="s">
        <v>2263</v>
      </c>
      <c r="C11" s="2665"/>
      <c r="D11" s="2666"/>
      <c r="E11" s="1060">
        <f>SUM(E12,E13)</f>
        <v>940000</v>
      </c>
      <c r="G11" s="2662" t="s">
        <v>1982</v>
      </c>
      <c r="H11" s="2662"/>
      <c r="I11" s="1139">
        <f>I9+I10</f>
        <v>51831634</v>
      </c>
      <c r="M11" s="1062"/>
    </row>
    <row r="12" spans="1:13" ht="15" customHeight="1">
      <c r="A12" s="1063"/>
      <c r="B12" s="2672" t="s">
        <v>2265</v>
      </c>
      <c r="C12" s="2672"/>
      <c r="D12" s="2672"/>
      <c r="E12" s="1165">
        <f>G56</f>
        <v>320000</v>
      </c>
      <c r="M12" s="1062"/>
    </row>
    <row r="13" spans="1:13" ht="15" customHeight="1">
      <c r="A13" s="1049"/>
      <c r="B13" s="2672" t="s">
        <v>2266</v>
      </c>
      <c r="C13" s="2672"/>
      <c r="D13" s="2672"/>
      <c r="E13" s="1165">
        <f>G65</f>
        <v>620000</v>
      </c>
      <c r="G13" s="2650" t="s">
        <v>2005</v>
      </c>
      <c r="H13" s="2651"/>
      <c r="I13" s="2652"/>
      <c r="M13" s="1062"/>
    </row>
    <row r="14" spans="1:13" ht="15" customHeight="1">
      <c r="A14" s="1049"/>
      <c r="B14" s="2664" t="s">
        <v>2264</v>
      </c>
      <c r="C14" s="2665"/>
      <c r="D14" s="2666"/>
      <c r="E14" s="1167">
        <f>MAX(E15,E16)+E17</f>
        <v>10485750</v>
      </c>
      <c r="G14" s="2663" t="s">
        <v>139</v>
      </c>
      <c r="H14" s="2663"/>
      <c r="I14" s="1064">
        <f>15%*(AND(G120="Yes",G122&lt;&gt;""))</f>
        <v>0.15</v>
      </c>
      <c r="M14" s="1062"/>
    </row>
    <row r="15" spans="1:13" ht="15" customHeight="1">
      <c r="A15" s="1049"/>
      <c r="B15" s="2647" t="s">
        <v>2270</v>
      </c>
      <c r="C15" s="2648"/>
      <c r="D15" s="2649"/>
      <c r="E15" s="1165">
        <f>G80</f>
        <v>2255000</v>
      </c>
      <c r="G15" s="1137" t="s">
        <v>1983</v>
      </c>
      <c r="H15" s="1137"/>
      <c r="I15" s="1064">
        <f>IF(Application!AJ1032&gt;0,10%,IF(Application!AJ1036&gt;0,5%,0))</f>
        <v>0</v>
      </c>
      <c r="M15" s="1062"/>
    </row>
    <row r="16" spans="1:13" ht="15" customHeight="1">
      <c r="A16" s="1049"/>
      <c r="B16" s="2647" t="s">
        <v>2269</v>
      </c>
      <c r="C16" s="2648"/>
      <c r="D16" s="2649"/>
      <c r="E16" s="1165">
        <f>G90</f>
        <v>0</v>
      </c>
      <c r="G16" s="2663" t="s">
        <v>1984</v>
      </c>
      <c r="H16" s="2663"/>
      <c r="I16" s="1064">
        <f>G132</f>
        <v>3.7173202614379085E-2</v>
      </c>
    </row>
    <row r="17" spans="1:21" ht="15" customHeight="1" thickBot="1">
      <c r="A17" s="1049"/>
      <c r="B17" s="2647" t="s">
        <v>2268</v>
      </c>
      <c r="C17" s="2648"/>
      <c r="D17" s="2649"/>
      <c r="E17" s="1165">
        <f>G115</f>
        <v>8230750</v>
      </c>
      <c r="G17" s="2663" t="s">
        <v>2278</v>
      </c>
      <c r="H17" s="2663"/>
      <c r="I17" s="1064">
        <f>IF(AND(G139="Yes",OR(G136,G137)),IF(G143&gt;15%,15%,G143),0)</f>
        <v>0</v>
      </c>
    </row>
    <row r="18" spans="1:21" ht="15" customHeight="1">
      <c r="A18" s="1046"/>
      <c r="B18" s="2676" t="s">
        <v>1938</v>
      </c>
      <c r="C18" s="2676"/>
      <c r="D18" s="2676"/>
      <c r="E18" s="1111">
        <f>SUM(E9:E11,E14)</f>
        <v>51818442</v>
      </c>
      <c r="G18" s="1138" t="s">
        <v>1972</v>
      </c>
      <c r="H18" s="1138"/>
      <c r="I18" s="1112">
        <f>I11-((I11*I14)+(I11*I15)+(I11*I16)+(I11*I17))</f>
        <v>42130141.067483664</v>
      </c>
      <c r="M18" s="1065">
        <f>SUM(Cdlac[Quantity])</f>
        <v>89</v>
      </c>
      <c r="O18" s="1084" t="s">
        <v>581</v>
      </c>
      <c r="P18" s="1044">
        <f>MATCH(Application!T189,Application!CB160:CB217,0)</f>
        <v>44</v>
      </c>
      <c r="T18" s="1065">
        <f>SUM(Cdlac[Population])</f>
        <v>32</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1112.3999999999999</v>
      </c>
      <c r="Q20" s="1164"/>
      <c r="R20" s="1065" cm="1">
        <f t="array" ref="R20">IF(Cdlac[[#This Row],[Quantity]]&gt;0,INDEX(HudFmrs,$P$18,Cdlac[[#This Row],[Bedrooms]]+1),"")</f>
        <v>3221</v>
      </c>
      <c r="S20" s="1065">
        <f>IF(Cdlac[[#This Row],[Quantity]]&gt;0,MAX(0,Cdlac[[#This Row],[Fair Market Rent]]-IF(AND($G$37,$G$38,$G$38&lt;&gt;"",NOT(Cdlac[[#This Row],[Federal]]),Cdlac[[#This Row],[Preservation Rent]]&lt;&gt;""),Cdlac[[#This Row],[Preservation Rent]],Cdlac[[#This Row],[Restricted Rent]])),"")</f>
        <v>2108.6000000000004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10</v>
      </c>
      <c r="N21" s="1071">
        <f>Application!AC719</f>
        <v>0.3</v>
      </c>
      <c r="O21" s="1071">
        <f>IF(Cdlac[[#This Row],[Quantity]]&gt;0,IF(Cdlac[[#This Row],[Federal]],30%,IF(AND(OR(NOT($G$38),$G$38=""),$G$43),40%,Cdlac[[#This Row],[iAMI]])),"")</f>
        <v>0.3</v>
      </c>
      <c r="P21" s="1065" cm="1">
        <f t="array" ref="P21">IF(Cdlac[[#This Row],[Quantity]]&gt;0,INDEX(TcacRents,$P$18,Cdlac[[#This Row],[Bedrooms]]+1)*Cdlac[[#This Row],[AMI]],"")</f>
        <v>1112.3999999999999</v>
      </c>
      <c r="Q21" s="1164"/>
      <c r="R21" s="1065" cm="1">
        <f t="array" ref="R21">IF(Cdlac[[#This Row],[Quantity]]&gt;0,INDEX(HudFmrs,$P$18,Cdlac[[#This Row],[Bedrooms]]+1),"")</f>
        <v>3221</v>
      </c>
      <c r="S21" s="1065">
        <f>IF(Cdlac[[#This Row],[Quantity]]&gt;0,MAX(0,Cdlac[[#This Row],[Fair Market Rent]]-IF(AND($G$37,$G$38,$G$38&lt;&gt;"",NOT(Cdlac[[#This Row],[Federal]]),Cdlac[[#This Row],[Preservation Rent]]&lt;&gt;""),Cdlac[[#This Row],[Preservation Rent]],Cdlac[[#This Row],[Restricted Rent]])),"")</f>
        <v>2108.6000000000004</v>
      </c>
      <c r="T21" s="1044">
        <f>IF(Cdlac[[#This Row],[Quantity]]&gt;0,AND(Application!AK719&lt;&gt;"N/A",Application!AK719&lt;&gt;"")*Cdlac[[#This Row],[Quantity]],"")</f>
        <v>10</v>
      </c>
      <c r="U21" s="1044" t="b">
        <f>AND('Subsidy Contract Calculation'!F5&gt;0,OR('Subsidy Contract Calculation'!C5="Federal",'Subsidy Contract Calculation'!C5="Local - Approved by ED"),Cdlac[[#This Row],[Quantity]]&gt;0)</f>
        <v>1</v>
      </c>
    </row>
    <row r="22" spans="1:21" ht="15" customHeight="1">
      <c r="A22" s="1049"/>
      <c r="C22" s="2654" t="s">
        <v>1986</v>
      </c>
      <c r="D22" s="2654" t="s">
        <v>1987</v>
      </c>
      <c r="E22" s="2654" t="s">
        <v>1988</v>
      </c>
      <c r="F22" s="2654" t="s">
        <v>2609</v>
      </c>
      <c r="G22" s="2654" t="s">
        <v>1985</v>
      </c>
      <c r="H22" s="1070"/>
      <c r="I22" s="1069"/>
      <c r="L22" s="1044">
        <f>IFERROR(MIN(4,MATCH(Application!B720,UnitSizes,0)-1),"")</f>
        <v>1</v>
      </c>
      <c r="M22" s="1065">
        <f>Application!G720</f>
        <v>7</v>
      </c>
      <c r="N22" s="1071">
        <f>Application!AC720</f>
        <v>0.3</v>
      </c>
      <c r="O22" s="1071">
        <f>IF(Cdlac[[#This Row],[Quantity]]&gt;0,IF(Cdlac[[#This Row],[Federal]],30%,IF(AND(OR(NOT($G$38),$G$38=""),$G$43),40%,Cdlac[[#This Row],[iAMI]])),"")</f>
        <v>0.3</v>
      </c>
      <c r="P22" s="1065" cm="1">
        <f t="array" ref="P22">IF(Cdlac[[#This Row],[Quantity]]&gt;0,INDEX(TcacRents,$P$18,Cdlac[[#This Row],[Bedrooms]]+1)*Cdlac[[#This Row],[AMI]],"")</f>
        <v>1112.3999999999999</v>
      </c>
      <c r="Q22" s="1164"/>
      <c r="R22" s="1065" cm="1">
        <f t="array" ref="R22">IF(Cdlac[[#This Row],[Quantity]]&gt;0,INDEX(HudFmrs,$P$18,Cdlac[[#This Row],[Bedrooms]]+1),"")</f>
        <v>3221</v>
      </c>
      <c r="S22" s="1065">
        <f>IF(Cdlac[[#This Row],[Quantity]]&gt;0,MAX(0,Cdlac[[#This Row],[Fair Market Rent]]-IF(AND($G$37,$G$38,$G$38&lt;&gt;"",NOT(Cdlac[[#This Row],[Federal]]),Cdlac[[#This Row],[Preservation Rent]]&lt;&gt;""),Cdlac[[#This Row],[Preservation Rent]],Cdlac[[#This Row],[Restricted Rent]])),"")</f>
        <v>2108.6000000000004</v>
      </c>
      <c r="T22" s="1044">
        <f>IF(Cdlac[[#This Row],[Quantity]]&gt;0,AND(Application!AK720&lt;&gt;"N/A",Application!AK720&lt;&gt;"")*Cdlac[[#This Row],[Quantity]],"")</f>
        <v>7</v>
      </c>
      <c r="U22" s="1044" t="b">
        <f>AND('Subsidy Contract Calculation'!F6&gt;0,OR('Subsidy Contract Calculation'!C6="Federal",'Subsidy Contract Calculation'!C6="Local - Approved by ED"),Cdlac[[#This Row],[Quantity]]&gt;0)</f>
        <v>1</v>
      </c>
    </row>
    <row r="23" spans="1:21" ht="15" customHeight="1">
      <c r="A23" s="1049"/>
      <c r="C23" s="2655"/>
      <c r="D23" s="2655"/>
      <c r="E23" s="2655"/>
      <c r="F23" s="2655"/>
      <c r="G23" s="2655"/>
      <c r="H23" s="1070"/>
      <c r="I23" s="1069"/>
      <c r="L23" s="1044">
        <f>IFERROR(MIN(4,MATCH(Application!B721,UnitSizes,0)-1),"")</f>
        <v>1</v>
      </c>
      <c r="M23" s="1065">
        <f>Application!G721</f>
        <v>10</v>
      </c>
      <c r="N23" s="1071">
        <f>Application!AC721</f>
        <v>0.5</v>
      </c>
      <c r="O23" s="1071">
        <f>IF(Cdlac[[#This Row],[Quantity]]&gt;0,IF(Cdlac[[#This Row],[Federal]],30%,IF(AND(OR(NOT($G$38),$G$38=""),$G$43),40%,Cdlac[[#This Row],[iAMI]])),"")</f>
        <v>0.3</v>
      </c>
      <c r="P23" s="1065" cm="1">
        <f t="array" ref="P23">IF(Cdlac[[#This Row],[Quantity]]&gt;0,INDEX(TcacRents,$P$18,Cdlac[[#This Row],[Bedrooms]]+1)*Cdlac[[#This Row],[AMI]],"")</f>
        <v>1112.3999999999999</v>
      </c>
      <c r="Q23" s="1164"/>
      <c r="R23" s="1065" cm="1">
        <f t="array" ref="R23">IF(Cdlac[[#This Row],[Quantity]]&gt;0,INDEX(HudFmrs,$P$18,Cdlac[[#This Row],[Bedrooms]]+1),"")</f>
        <v>3221</v>
      </c>
      <c r="S23" s="1065">
        <f>IF(Cdlac[[#This Row],[Quantity]]&gt;0,MAX(0,Cdlac[[#This Row],[Fair Market Rent]]-IF(AND($G$37,$G$38,$G$38&lt;&gt;"",NOT(Cdlac[[#This Row],[Federal]]),Cdlac[[#This Row],[Preservation Rent]]&lt;&gt;""),Cdlac[[#This Row],[Preservation Rent]],Cdlac[[#This Row],[Restricted Rent]])),"")</f>
        <v>2108.6000000000004</v>
      </c>
      <c r="T23" s="1044">
        <f>IF(Cdlac[[#This Row],[Quantity]]&gt;0,AND(Application!AK721&lt;&gt;"N/A",Application!AK721&lt;&gt;"")*Cdlac[[#This Row],[Quantity]],"")</f>
        <v>10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1335</v>
      </c>
      <c r="Q24" s="1164"/>
      <c r="R24" s="1065" cm="1">
        <f t="array" ref="R24">IF(Cdlac[[#This Row],[Quantity]]&gt;0,INDEX(HudFmrs,$P$18,Cdlac[[#This Row],[Bedrooms]]+1),"")</f>
        <v>4223</v>
      </c>
      <c r="S24" s="1065">
        <f>IF(Cdlac[[#This Row],[Quantity]]&gt;0,MAX(0,Cdlac[[#This Row],[Fair Market Rent]]-IF(AND($G$37,$G$38,$G$38&lt;&gt;"",NOT(Cdlac[[#This Row],[Federal]]),Cdlac[[#This Row],[Preservation Rent]]&lt;&gt;""),Cdlac[[#This Row],[Preservation Rent]],Cdlac[[#This Row],[Restricted Rent]])),"")</f>
        <v>2888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33</v>
      </c>
      <c r="F25" s="1072">
        <f>E25</f>
        <v>33</v>
      </c>
      <c r="G25" s="1072">
        <f>D25*F25</f>
        <v>33</v>
      </c>
      <c r="L25" s="1044">
        <f>IFERROR(MIN(4,MATCH(Application!B723,UnitSizes,0)-1),"")</f>
        <v>2</v>
      </c>
      <c r="M25" s="1065">
        <f>Application!G723</f>
        <v>3</v>
      </c>
      <c r="N25" s="1071">
        <f>Application!AC723</f>
        <v>0.5</v>
      </c>
      <c r="O25" s="1071">
        <f>IF(Cdlac[[#This Row],[Quantity]]&gt;0,IF(Cdlac[[#This Row],[Federal]],30%,IF(AND(OR(NOT($G$38),$G$38=""),$G$43),40%,Cdlac[[#This Row],[iAMI]])),"")</f>
        <v>0.3</v>
      </c>
      <c r="P25" s="1065" cm="1">
        <f t="array" ref="P25">IF(Cdlac[[#This Row],[Quantity]]&gt;0,INDEX(TcacRents,$P$18,Cdlac[[#This Row],[Bedrooms]]+1)*Cdlac[[#This Row],[AMI]],"")</f>
        <v>1335</v>
      </c>
      <c r="Q25" s="1164"/>
      <c r="R25" s="1065" cm="1">
        <f t="array" ref="R25">IF(Cdlac[[#This Row],[Quantity]]&gt;0,INDEX(HudFmrs,$P$18,Cdlac[[#This Row],[Bedrooms]]+1),"")</f>
        <v>4223</v>
      </c>
      <c r="S25" s="1065">
        <f>IF(Cdlac[[#This Row],[Quantity]]&gt;0,MAX(0,Cdlac[[#This Row],[Fair Market Rent]]-IF(AND($G$37,$G$38,$G$38&lt;&gt;"",NOT(Cdlac[[#This Row],[Federal]]),Cdlac[[#This Row],[Preservation Rent]]&lt;&gt;""),Cdlac[[#This Row],[Preservation Rent]],Cdlac[[#This Row],[Restricted Rent]])),"")</f>
        <v>2888</v>
      </c>
      <c r="T25" s="1044">
        <f>IF(Cdlac[[#This Row],[Quantity]]&gt;0,AND(Application!AK723&lt;&gt;"N/A",Application!AK723&lt;&gt;"")*Cdlac[[#This Row],[Quantity]],"")</f>
        <v>3</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23</v>
      </c>
      <c r="F26" s="1075">
        <f>SUM(E26:E28)-SUM(F27:F28)</f>
        <v>25</v>
      </c>
      <c r="G26" s="1072">
        <f>D26*F26</f>
        <v>31.25</v>
      </c>
      <c r="H26" s="1074"/>
      <c r="I26" s="1074"/>
      <c r="L26" s="1044">
        <f>IFERROR(MIN(4,MATCH(Application!B724,UnitSizes,0)-1),"")</f>
        <v>2</v>
      </c>
      <c r="M26" s="1065">
        <f>Application!G724</f>
        <v>2</v>
      </c>
      <c r="N26" s="1071">
        <f>Application!AC724</f>
        <v>0.3</v>
      </c>
      <c r="O26" s="1071">
        <f>IF(Cdlac[[#This Row],[Quantity]]&gt;0,IF(Cdlac[[#This Row],[Federal]],30%,IF(AND(OR(NOT($G$38),$G$38=""),$G$43),40%,Cdlac[[#This Row],[iAMI]])),"")</f>
        <v>0.3</v>
      </c>
      <c r="P26" s="1065" cm="1">
        <f t="array" ref="P26">IF(Cdlac[[#This Row],[Quantity]]&gt;0,INDEX(TcacRents,$P$18,Cdlac[[#This Row],[Bedrooms]]+1)*Cdlac[[#This Row],[AMI]],"")</f>
        <v>1335</v>
      </c>
      <c r="Q26" s="1164"/>
      <c r="R26" s="1065" cm="1">
        <f t="array" ref="R26">IF(Cdlac[[#This Row],[Quantity]]&gt;0,INDEX(HudFmrs,$P$18,Cdlac[[#This Row],[Bedrooms]]+1),"")</f>
        <v>4223</v>
      </c>
      <c r="S26" s="1065">
        <f>IF(Cdlac[[#This Row],[Quantity]]&gt;0,MAX(0,Cdlac[[#This Row],[Fair Market Rent]]-IF(AND($G$37,$G$38,$G$38&lt;&gt;"",NOT(Cdlac[[#This Row],[Federal]]),Cdlac[[#This Row],[Preservation Rent]]&lt;&gt;""),Cdlac[[#This Row],[Preservation Rent]],Cdlac[[#This Row],[Restricted Rent]])),"")</f>
        <v>2888</v>
      </c>
      <c r="T26" s="1044">
        <f>IF(Cdlac[[#This Row],[Quantity]]&gt;0,AND(Application!AK724&lt;&gt;"N/A",Application!AK724&lt;&gt;"")*Cdlac[[#This Row],[Quantity]],"")</f>
        <v>2</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23</v>
      </c>
      <c r="F27" s="1075">
        <f>MIN(E27,ROUNDDOWN(E29*30%,0))</f>
        <v>23</v>
      </c>
      <c r="G27" s="1072">
        <f>D27*F27</f>
        <v>34.5</v>
      </c>
      <c r="H27" s="1074"/>
      <c r="I27" s="1074"/>
      <c r="L27" s="1044">
        <f>IFERROR(MIN(4,MATCH(Application!B725,UnitSizes,0)-1),"")</f>
        <v>2</v>
      </c>
      <c r="M27" s="1065">
        <f>Application!G725</f>
        <v>16</v>
      </c>
      <c r="N27" s="1071">
        <f>Application!AC725</f>
        <v>0.6</v>
      </c>
      <c r="O27" s="1071">
        <f>IF(Cdlac[[#This Row],[Quantity]]&gt;0,IF(Cdlac[[#This Row],[Federal]],30%,IF(AND(OR(NOT($G$38),$G$38=""),$G$43),40%,Cdlac[[#This Row],[iAMI]])),"")</f>
        <v>0.6</v>
      </c>
      <c r="P27" s="1065" cm="1">
        <f t="array" ref="P27">IF(Cdlac[[#This Row],[Quantity]]&gt;0,INDEX(TcacRents,$P$18,Cdlac[[#This Row],[Bedrooms]]+1)*Cdlac[[#This Row],[AMI]],"")</f>
        <v>2670</v>
      </c>
      <c r="Q27" s="1164"/>
      <c r="R27" s="1065" cm="1">
        <f t="array" ref="R27">IF(Cdlac[[#This Row],[Quantity]]&gt;0,INDEX(HudFmrs,$P$18,Cdlac[[#This Row],[Bedrooms]]+1),"")</f>
        <v>4223</v>
      </c>
      <c r="S27" s="1065">
        <f>IF(Cdlac[[#This Row],[Quantity]]&gt;0,MAX(0,Cdlac[[#This Row],[Fair Market Rent]]-IF(AND($G$37,$G$38,$G$38&lt;&gt;"",NOT(Cdlac[[#This Row],[Federal]]),Cdlac[[#This Row],[Preservation Rent]]&lt;&gt;""),Cdlac[[#This Row],[Preservation Rent]],Cdlac[[#This Row],[Restricted Rent]])),"")</f>
        <v>1553</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10</v>
      </c>
      <c r="F28" s="1086">
        <f>MIN(E28,ROUNDDOWN(E29*10%,0))</f>
        <v>8</v>
      </c>
      <c r="G28" s="1088">
        <f>D28*F28</f>
        <v>14</v>
      </c>
      <c r="H28" s="1074"/>
      <c r="I28" s="1074"/>
      <c r="L28" s="1044">
        <f>IFERROR(MIN(4,MATCH(Application!B726,UnitSizes,0)-1),"")</f>
        <v>3</v>
      </c>
      <c r="M28" s="1065">
        <f>Application!G726</f>
        <v>1</v>
      </c>
      <c r="N28" s="1071">
        <f>Application!AC726</f>
        <v>0.3</v>
      </c>
      <c r="O28" s="1071">
        <f>IF(Cdlac[[#This Row],[Quantity]]&gt;0,IF(Cdlac[[#This Row],[Federal]],30%,IF(AND(OR(NOT($G$38),$G$38=""),$G$43),40%,Cdlac[[#This Row],[iAMI]])),"")</f>
        <v>0.3</v>
      </c>
      <c r="P28" s="1065" cm="1">
        <f t="array" ref="P28">IF(Cdlac[[#This Row],[Quantity]]&gt;0,INDEX(TcacRents,$P$18,Cdlac[[#This Row],[Bedrooms]]+1)*Cdlac[[#This Row],[AMI]],"")</f>
        <v>1542.6</v>
      </c>
      <c r="Q28" s="1164"/>
      <c r="R28" s="1065" cm="1">
        <f t="array" ref="R28">IF(Cdlac[[#This Row],[Quantity]]&gt;0,INDEX(HudFmrs,$P$18,Cdlac[[#This Row],[Bedrooms]]+1),"")</f>
        <v>5256</v>
      </c>
      <c r="S28" s="1065">
        <f>IF(Cdlac[[#This Row],[Quantity]]&gt;0,MAX(0,Cdlac[[#This Row],[Fair Market Rent]]-IF(AND($G$37,$G$38,$G$38&lt;&gt;"",NOT(Cdlac[[#This Row],[Federal]]),Cdlac[[#This Row],[Preservation Rent]]&lt;&gt;""),Cdlac[[#This Row],[Preservation Rent]],Cdlac[[#This Row],[Restricted Rent]])),"")</f>
        <v>3713.4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56" t="s">
        <v>1585</v>
      </c>
      <c r="D29" s="2657"/>
      <c r="E29" s="1089">
        <f>SUM(E24:E28)</f>
        <v>89</v>
      </c>
      <c r="F29" s="1089">
        <f>SUM(F24:F28)</f>
        <v>89</v>
      </c>
      <c r="G29" s="1090">
        <f>SUMPRODUCT(D24:D28,F24:F28)</f>
        <v>112.75</v>
      </c>
      <c r="H29" s="1074"/>
      <c r="I29" s="1074"/>
      <c r="L29" s="1044">
        <f>IFERROR(MIN(4,MATCH(Application!B727,UnitSizes,0)-1),"")</f>
        <v>3</v>
      </c>
      <c r="M29" s="1065">
        <f>Application!G727</f>
        <v>2</v>
      </c>
      <c r="N29" s="1071">
        <f>Application!AC727</f>
        <v>0.3</v>
      </c>
      <c r="O29" s="1071">
        <f>IF(Cdlac[[#This Row],[Quantity]]&gt;0,IF(Cdlac[[#This Row],[Federal]],30%,IF(AND(OR(NOT($G$38),$G$38=""),$G$43),40%,Cdlac[[#This Row],[iAMI]])),"")</f>
        <v>0.3</v>
      </c>
      <c r="P29" s="1065" cm="1">
        <f t="array" ref="P29">IF(Cdlac[[#This Row],[Quantity]]&gt;0,INDEX(TcacRents,$P$18,Cdlac[[#This Row],[Bedrooms]]+1)*Cdlac[[#This Row],[AMI]],"")</f>
        <v>1542.6</v>
      </c>
      <c r="Q29" s="1164"/>
      <c r="R29" s="1065" cm="1">
        <f t="array" ref="R29">IF(Cdlac[[#This Row],[Quantity]]&gt;0,INDEX(HudFmrs,$P$18,Cdlac[[#This Row],[Bedrooms]]+1),"")</f>
        <v>5256</v>
      </c>
      <c r="S29" s="1065">
        <f>IF(Cdlac[[#This Row],[Quantity]]&gt;0,MAX(0,Cdlac[[#This Row],[Fair Market Rent]]-IF(AND($G$37,$G$38,$G$38&lt;&gt;"",NOT(Cdlac[[#This Row],[Federal]]),Cdlac[[#This Row],[Preservation Rent]]&lt;&gt;""),Cdlac[[#This Row],[Preservation Rent]],Cdlac[[#This Row],[Restricted Rent]])),"")</f>
        <v>3713.4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v>
      </c>
      <c r="N30" s="1071">
        <f>Application!AC728</f>
        <v>0.5</v>
      </c>
      <c r="O30" s="1071">
        <f>IF(Cdlac[[#This Row],[Quantity]]&gt;0,IF(Cdlac[[#This Row],[Federal]],30%,IF(AND(OR(NOT($G$38),$G$38=""),$G$43),40%,Cdlac[[#This Row],[iAMI]])),"")</f>
        <v>0.5</v>
      </c>
      <c r="P30" s="1065" cm="1">
        <f t="array" ref="P30">IF(Cdlac[[#This Row],[Quantity]]&gt;0,INDEX(TcacRents,$P$18,Cdlac[[#This Row],[Bedrooms]]+1)*Cdlac[[#This Row],[AMI]],"")</f>
        <v>2571</v>
      </c>
      <c r="Q30" s="1164"/>
      <c r="R30" s="1065" cm="1">
        <f t="array" ref="R30">IF(Cdlac[[#This Row],[Quantity]]&gt;0,INDEX(HudFmrs,$P$18,Cdlac[[#This Row],[Bedrooms]]+1),"")</f>
        <v>5256</v>
      </c>
      <c r="S30" s="1065">
        <f>IF(Cdlac[[#This Row],[Quantity]]&gt;0,MAX(0,Cdlac[[#This Row],[Fair Market Rent]]-IF(AND($G$37,$G$38,$G$38&lt;&gt;"",NOT(Cdlac[[#This Row],[Federal]]),Cdlac[[#This Row],[Preservation Rent]]&lt;&gt;""),Cdlac[[#This Row],[Preservation Rent]],Cdlac[[#This Row],[Restricted Rent]])),"")</f>
        <v>2685</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112.75</v>
      </c>
      <c r="H31" s="1074"/>
      <c r="I31" s="1074"/>
      <c r="L31" s="1044">
        <f>IFERROR(MIN(4,MATCH(Application!B729,UnitSizes,0)-1),"")</f>
        <v>3</v>
      </c>
      <c r="M31" s="1065">
        <f>Application!G729</f>
        <v>19</v>
      </c>
      <c r="N31" s="1071">
        <f>Application!AC729</f>
        <v>0.6</v>
      </c>
      <c r="O31" s="1071">
        <f>IF(Cdlac[[#This Row],[Quantity]]&gt;0,IF(Cdlac[[#This Row],[Federal]],30%,IF(AND(OR(NOT($G$38),$G$38=""),$G$43),40%,Cdlac[[#This Row],[iAMI]])),"")</f>
        <v>0.6</v>
      </c>
      <c r="P31" s="1065" cm="1">
        <f t="array" ref="P31">IF(Cdlac[[#This Row],[Quantity]]&gt;0,INDEX(TcacRents,$P$18,Cdlac[[#This Row],[Bedrooms]]+1)*Cdlac[[#This Row],[AMI]],"")</f>
        <v>3085.2</v>
      </c>
      <c r="Q31" s="1164"/>
      <c r="R31" s="1065" cm="1">
        <f t="array" ref="R31">IF(Cdlac[[#This Row],[Quantity]]&gt;0,INDEX(HudFmrs,$P$18,Cdlac[[#This Row],[Bedrooms]]+1),"")</f>
        <v>5256</v>
      </c>
      <c r="S31" s="1065">
        <f>IF(Cdlac[[#This Row],[Quantity]]&gt;0,MAX(0,Cdlac[[#This Row],[Fair Market Rent]]-IF(AND($G$37,$G$38,$G$38&lt;&gt;"",NOT(Cdlac[[#This Row],[Federal]]),Cdlac[[#This Row],[Preservation Rent]]&lt;&gt;""),Cdlac[[#This Row],[Preservation Rent]],Cdlac[[#This Row],[Restricted Rent]])),"")</f>
        <v>2170.8000000000002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f>IFERROR(MIN(4,MATCH(Application!B730,UnitSizes,0)-1),"")</f>
        <v>4</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1720.2</v>
      </c>
      <c r="Q32" s="1164"/>
      <c r="R32" s="1065" cm="1">
        <f t="array" ref="R32">IF(Cdlac[[#This Row],[Quantity]]&gt;0,INDEX(HudFmrs,$P$18,Cdlac[[#This Row],[Bedrooms]]+1),"")</f>
        <v>5605</v>
      </c>
      <c r="S32" s="1065">
        <f>IF(Cdlac[[#This Row],[Quantity]]&gt;0,MAX(0,Cdlac[[#This Row],[Fair Market Rent]]-IF(AND($G$37,$G$38,$G$38&lt;&gt;"",NOT(Cdlac[[#This Row],[Federal]]),Cdlac[[#This Row],[Preservation Rent]]&lt;&gt;""),Cdlac[[#This Row],[Preservation Rent]],Cdlac[[#This Row],[Restricted Rent]])),"")</f>
        <v>3884.8</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1</v>
      </c>
    </row>
    <row r="33" spans="1:21" ht="15" customHeight="1">
      <c r="A33" s="1074"/>
      <c r="E33" s="1118" t="s">
        <v>1978</v>
      </c>
      <c r="F33" s="1046"/>
      <c r="G33" s="1119">
        <f>G32*G31</f>
        <v>5637500</v>
      </c>
      <c r="H33" s="1074"/>
      <c r="I33" s="1074"/>
      <c r="L33" s="1044">
        <f>IFERROR(MIN(4,MATCH(Application!B731,UnitSizes,0)-1),"")</f>
        <v>4</v>
      </c>
      <c r="M33" s="1065">
        <f>Application!G731</f>
        <v>9</v>
      </c>
      <c r="N33" s="1071">
        <f>Application!AC731</f>
        <v>0.6</v>
      </c>
      <c r="O33" s="1071">
        <f>IF(Cdlac[[#This Row],[Quantity]]&gt;0,IF(Cdlac[[#This Row],[Federal]],30%,IF(AND(OR(NOT($G$38),$G$38=""),$G$43),40%,Cdlac[[#This Row],[iAMI]])),"")</f>
        <v>0.6</v>
      </c>
      <c r="P33" s="1065" cm="1">
        <f t="array" ref="P33">IF(Cdlac[[#This Row],[Quantity]]&gt;0,INDEX(TcacRents,$P$18,Cdlac[[#This Row],[Bedrooms]]+1)*Cdlac[[#This Row],[AMI]],"")</f>
        <v>3440.4</v>
      </c>
      <c r="Q33" s="1164"/>
      <c r="R33" s="1065" cm="1">
        <f t="array" ref="R33">IF(Cdlac[[#This Row],[Quantity]]&gt;0,INDEX(HudFmrs,$P$18,Cdlac[[#This Row],[Bedrooms]]+1),"")</f>
        <v>5605</v>
      </c>
      <c r="S33" s="1065">
        <f>IF(Cdlac[[#This Row],[Quantity]]&gt;0,MAX(0,Cdlac[[#This Row],[Fair Market Rent]]-IF(AND($G$37,$G$38,$G$38&lt;&gt;"",NOT(Cdlac[[#This Row],[Federal]]),Cdlac[[#This Row],[Preservation Rent]]&lt;&gt;""),Cdlac[[#This Row],[Preservation Rent]],Cdlac[[#This Row],[Restricted Rent]])),"")</f>
        <v>2164.6</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0.58510638297872342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193084.4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34755192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32</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44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32</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320000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31</v>
      </c>
    </row>
    <row r="61" spans="2:21" ht="15" customHeight="1">
      <c r="E61" s="1117" t="s">
        <v>1994</v>
      </c>
      <c r="G61" s="1079">
        <f>ROUNDDOWN(E29*50%,0)</f>
        <v>44</v>
      </c>
    </row>
    <row r="62" spans="2:21" ht="15" customHeight="1">
      <c r="E62" s="1117"/>
      <c r="G62" s="1079"/>
    </row>
    <row r="63" spans="2:21" ht="15" customHeight="1">
      <c r="E63" s="1117" t="s">
        <v>1954</v>
      </c>
      <c r="G63" s="1114">
        <f>MIN(G60:G61)</f>
        <v>31</v>
      </c>
    </row>
    <row r="64" spans="2:21" ht="15" customHeight="1">
      <c r="E64" s="1117" t="s">
        <v>1944</v>
      </c>
      <c r="F64" s="1113" t="s">
        <v>1992</v>
      </c>
      <c r="G64" s="1124">
        <v>20000</v>
      </c>
    </row>
    <row r="65" spans="2:14" ht="15" customHeight="1">
      <c r="E65" s="1118" t="s">
        <v>1976</v>
      </c>
      <c r="F65" s="1046"/>
      <c r="G65" s="1123">
        <f>G63*G64</f>
        <v>620000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544</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High Resource</v>
      </c>
      <c r="L72" s="2667" t="s">
        <v>1969</v>
      </c>
      <c r="M72" s="2668"/>
      <c r="N72" s="1131">
        <v>30000</v>
      </c>
    </row>
    <row r="73" spans="2:14" ht="15" customHeight="1">
      <c r="C73" s="2669" t="s">
        <v>2262</v>
      </c>
      <c r="D73" s="2669"/>
      <c r="E73" s="2669"/>
      <c r="F73" s="2669"/>
      <c r="G73" s="1043" t="s">
        <v>668</v>
      </c>
      <c r="L73" s="2678" t="s">
        <v>1937</v>
      </c>
      <c r="M73" s="2679"/>
      <c r="N73" s="1132">
        <v>20000</v>
      </c>
    </row>
    <row r="74" spans="2:14" ht="15" customHeight="1" thickBot="1">
      <c r="C74" s="2669"/>
      <c r="D74" s="2669"/>
      <c r="E74" s="2669"/>
      <c r="F74" s="2669"/>
      <c r="L74" s="2680" t="s">
        <v>1970</v>
      </c>
      <c r="M74" s="2681"/>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112.75</v>
      </c>
    </row>
    <row r="80" spans="2:14" ht="15" customHeight="1">
      <c r="D80" s="1046"/>
      <c r="E80" s="1118" t="s">
        <v>2267</v>
      </c>
      <c r="F80" s="1046"/>
      <c r="G80" s="1123">
        <f>G79*G78*G76</f>
        <v>2255000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112.75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112.75</v>
      </c>
    </row>
    <row r="97" spans="2:14" ht="15" customHeight="1">
      <c r="E97" s="1118" t="s">
        <v>1961</v>
      </c>
      <c r="F97" s="1046"/>
      <c r="G97" s="1123">
        <f>G94*G95*G96</f>
        <v>3157000</v>
      </c>
      <c r="L97" s="1127" t="str">
        <f>'Points System'!H638</f>
        <v>(i)</v>
      </c>
      <c r="M97" s="2686" t="s">
        <v>1404</v>
      </c>
      <c r="N97" s="2687"/>
    </row>
    <row r="98" spans="2:14" ht="15" customHeight="1">
      <c r="C98" s="1077"/>
      <c r="G98" s="1114"/>
      <c r="L98" s="1128" t="str">
        <f>'Points System'!H650</f>
        <v>(ii)</v>
      </c>
      <c r="M98" s="2682" t="s">
        <v>1956</v>
      </c>
      <c r="N98" s="2683"/>
    </row>
    <row r="99" spans="2:14" ht="15" customHeight="1">
      <c r="E99" s="1084" t="s">
        <v>1997</v>
      </c>
      <c r="G99" s="1126">
        <f>COUNTIFS(L97:L104,"(i)")</f>
        <v>5</v>
      </c>
      <c r="L99" s="1128" t="str">
        <f>'Points System'!H685</f>
        <v>(i)</v>
      </c>
      <c r="M99" s="2682" t="s">
        <v>1957</v>
      </c>
      <c r="N99" s="2683"/>
    </row>
    <row r="100" spans="2:14" ht="15" customHeight="1">
      <c r="E100" s="1084" t="s">
        <v>1944</v>
      </c>
      <c r="F100" s="1113" t="s">
        <v>1992</v>
      </c>
      <c r="G100" s="1124">
        <v>4000</v>
      </c>
      <c r="L100" s="1128" t="str">
        <f>IF(OR('Points System'!H709="(ii)",'Points System'!H709="(i)"),"(i)","N/A")</f>
        <v>(i)</v>
      </c>
      <c r="M100" s="2682" t="s">
        <v>1958</v>
      </c>
      <c r="N100" s="2683"/>
    </row>
    <row r="101" spans="2:14" ht="15" customHeight="1">
      <c r="E101" s="1118" t="s">
        <v>1962</v>
      </c>
      <c r="F101" s="1046"/>
      <c r="G101" s="1123">
        <f>G96*G99*G100</f>
        <v>2255000</v>
      </c>
      <c r="L101" s="1129" t="str">
        <f>'Points System'!H723</f>
        <v>N/A</v>
      </c>
      <c r="M101" s="2682" t="s">
        <v>1430</v>
      </c>
      <c r="N101" s="2683"/>
    </row>
    <row r="102" spans="2:14" ht="15" customHeight="1">
      <c r="L102" s="1128" t="str">
        <f>'Points System'!H735</f>
        <v>(i)</v>
      </c>
      <c r="M102" s="2682" t="s">
        <v>1959</v>
      </c>
      <c r="N102" s="2683"/>
    </row>
    <row r="103" spans="2:14" ht="15" customHeight="1">
      <c r="C103" s="1080" t="s">
        <v>1964</v>
      </c>
      <c r="L103" s="1128" t="str">
        <f>'Points System'!H751</f>
        <v>(ii)</v>
      </c>
      <c r="M103" s="2682" t="s">
        <v>1960</v>
      </c>
      <c r="N103" s="2683"/>
    </row>
    <row r="104" spans="2:14" ht="15" customHeight="1" thickBot="1">
      <c r="C104" s="1077" t="s">
        <v>1965</v>
      </c>
      <c r="G104" s="1043"/>
      <c r="L104" s="1130" t="str">
        <f>'Points System'!H763</f>
        <v>(i)</v>
      </c>
      <c r="M104" s="2684" t="s">
        <v>1433</v>
      </c>
      <c r="N104" s="2685"/>
    </row>
    <row r="105" spans="2:14" ht="15" customHeight="1">
      <c r="C105" s="1077" t="s">
        <v>1966</v>
      </c>
      <c r="G105" s="1043"/>
    </row>
    <row r="106" spans="2:14" ht="15" customHeight="1">
      <c r="C106" s="1077" t="s">
        <v>2139</v>
      </c>
      <c r="G106" s="1043" t="s">
        <v>544</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112.75</v>
      </c>
    </row>
    <row r="112" spans="2:14" ht="15" customHeight="1">
      <c r="E112" s="1084" t="s">
        <v>1944</v>
      </c>
      <c r="F112" s="1113" t="s">
        <v>1992</v>
      </c>
      <c r="G112" s="1124">
        <v>25000</v>
      </c>
    </row>
    <row r="113" spans="2:9" ht="15" customHeight="1">
      <c r="E113" s="1118" t="s">
        <v>1963</v>
      </c>
      <c r="F113" s="1046"/>
      <c r="G113" s="1123">
        <f>G109*G112*G96</f>
        <v>2818750</v>
      </c>
    </row>
    <row r="114" spans="2:9" ht="15" customHeight="1">
      <c r="C114" s="1077"/>
      <c r="E114" s="1077"/>
    </row>
    <row r="115" spans="2:9" ht="15" customHeight="1">
      <c r="E115" s="1118" t="s">
        <v>2272</v>
      </c>
      <c r="G115" s="1123">
        <f>G113+G101+G97</f>
        <v>8230750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2227</v>
      </c>
      <c r="D119" s="2658"/>
      <c r="E119" s="2658"/>
      <c r="F119" s="2658"/>
    </row>
    <row r="120" spans="2:9" ht="15" customHeight="1">
      <c r="C120" s="2658"/>
      <c r="D120" s="2658"/>
      <c r="E120" s="2658"/>
      <c r="F120" s="2658"/>
      <c r="G120" s="1043" t="s">
        <v>544</v>
      </c>
    </row>
    <row r="121" spans="2:9" ht="15" customHeight="1"/>
    <row r="122" spans="2:9" ht="15" customHeight="1">
      <c r="C122" s="1044" t="s">
        <v>2229</v>
      </c>
      <c r="G122" s="2660" t="s">
        <v>2681</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2001</v>
      </c>
      <c r="C126" s="1067"/>
      <c r="D126" s="1067"/>
      <c r="E126" s="1067"/>
      <c r="F126" s="1067"/>
      <c r="G126" s="1067"/>
      <c r="H126" s="1067"/>
      <c r="I126" s="1068"/>
    </row>
    <row r="128" spans="2:9">
      <c r="E128" s="1084" t="s">
        <v>581</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2000</v>
      </c>
      <c r="G131" s="1078">
        <f>MEDIAN((Application!CU160:CU217))</f>
        <v>489600</v>
      </c>
    </row>
    <row r="132" spans="2:9">
      <c r="D132" s="1046"/>
      <c r="E132" s="1118" t="s">
        <v>2002</v>
      </c>
      <c r="F132" s="1134"/>
      <c r="G132" s="1135">
        <f>((G130-G131)/G131)*0.25</f>
        <v>3.7173202614379085E-2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3" t="s">
        <v>2275</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7061459.5499999998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6" sqref="F16"/>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8" t="s">
        <v>908</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3.4">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1 Bedroom</v>
      </c>
      <c r="B4" s="1082">
        <f>Application!G718</f>
        <v>6</v>
      </c>
      <c r="C4" s="1162" t="s">
        <v>384</v>
      </c>
      <c r="D4" s="428">
        <f>Application!O718</f>
        <v>974.40000000000009</v>
      </c>
      <c r="E4" s="429"/>
      <c r="F4" s="1083">
        <f>2878-Application!T718</f>
        <v>2740</v>
      </c>
      <c r="G4" s="428">
        <f>F4*B4</f>
        <v>16440</v>
      </c>
      <c r="H4" s="429"/>
      <c r="I4" s="428">
        <f t="shared" ref="I4:I27" si="0">IF(F4=0,"",(F4-D4))</f>
        <v>1765.6</v>
      </c>
      <c r="J4" s="428">
        <f t="shared" ref="J4:J27" si="1">IF(F4=0,"",(I4*B4))</f>
        <v>10593.599999999999</v>
      </c>
      <c r="K4" s="204"/>
      <c r="L4" s="305"/>
    </row>
    <row r="5" spans="1:12">
      <c r="A5" s="428" t="str">
        <f>Application!B719</f>
        <v>1 Bedroom</v>
      </c>
      <c r="B5" s="1082">
        <f>Application!G719</f>
        <v>10</v>
      </c>
      <c r="C5" s="1162" t="s">
        <v>384</v>
      </c>
      <c r="D5" s="428">
        <f>Application!O719</f>
        <v>974.40000000000009</v>
      </c>
      <c r="E5" s="429"/>
      <c r="F5" s="1083">
        <f>2878-Application!T719</f>
        <v>2740</v>
      </c>
      <c r="G5" s="428">
        <f t="shared" ref="G5:G38" si="2">F5*B5</f>
        <v>27400</v>
      </c>
      <c r="H5" s="429"/>
      <c r="I5" s="428">
        <f t="shared" si="0"/>
        <v>1765.6</v>
      </c>
      <c r="J5" s="428">
        <f t="shared" si="1"/>
        <v>17656</v>
      </c>
      <c r="K5" s="204"/>
      <c r="L5" s="305"/>
    </row>
    <row r="6" spans="1:12">
      <c r="A6" s="428" t="str">
        <f>Application!B720</f>
        <v>1 Bedroom</v>
      </c>
      <c r="B6" s="1082">
        <f>Application!G720</f>
        <v>7</v>
      </c>
      <c r="C6" s="1162" t="s">
        <v>384</v>
      </c>
      <c r="D6" s="428">
        <f>Application!O720</f>
        <v>974.40000000000009</v>
      </c>
      <c r="E6" s="429"/>
      <c r="F6" s="1083">
        <f>3085-Application!T720</f>
        <v>2947</v>
      </c>
      <c r="G6" s="428">
        <f t="shared" si="2"/>
        <v>20629</v>
      </c>
      <c r="H6" s="429"/>
      <c r="I6" s="428">
        <f t="shared" si="0"/>
        <v>1972.6</v>
      </c>
      <c r="J6" s="428">
        <f t="shared" si="1"/>
        <v>13808.199999999999</v>
      </c>
      <c r="K6" s="204"/>
      <c r="L6" s="305"/>
    </row>
    <row r="7" spans="1:12">
      <c r="A7" s="428" t="str">
        <f>Application!B721</f>
        <v>1 Bedroom</v>
      </c>
      <c r="B7" s="1082">
        <f>Application!G721</f>
        <v>10</v>
      </c>
      <c r="C7" s="1162" t="s">
        <v>384</v>
      </c>
      <c r="D7" s="428">
        <f>Application!O721</f>
        <v>1716</v>
      </c>
      <c r="E7" s="429"/>
      <c r="F7" s="1083">
        <f>2878-Application!T721</f>
        <v>2740</v>
      </c>
      <c r="G7" s="428">
        <f t="shared" si="2"/>
        <v>27400</v>
      </c>
      <c r="H7" s="429"/>
      <c r="I7" s="428">
        <f t="shared" si="0"/>
        <v>1024</v>
      </c>
      <c r="J7" s="428">
        <f t="shared" si="1"/>
        <v>10240</v>
      </c>
      <c r="K7" s="204"/>
      <c r="L7" s="305"/>
    </row>
    <row r="8" spans="1:12">
      <c r="A8" s="428" t="str">
        <f>Application!B722</f>
        <v>2 Bedrooms</v>
      </c>
      <c r="B8" s="1082">
        <f>Application!G722</f>
        <v>2</v>
      </c>
      <c r="C8" s="1162" t="s">
        <v>384</v>
      </c>
      <c r="D8" s="428">
        <f>Application!O722</f>
        <v>1144</v>
      </c>
      <c r="E8" s="429"/>
      <c r="F8" s="1083">
        <f>3786-Application!T722</f>
        <v>3595</v>
      </c>
      <c r="G8" s="428">
        <f t="shared" si="2"/>
        <v>7190</v>
      </c>
      <c r="H8" s="429"/>
      <c r="I8" s="428">
        <f t="shared" si="0"/>
        <v>2451</v>
      </c>
      <c r="J8" s="428">
        <f t="shared" si="1"/>
        <v>4902</v>
      </c>
      <c r="K8" s="204"/>
      <c r="L8" s="305"/>
    </row>
    <row r="9" spans="1:12">
      <c r="A9" s="428" t="str">
        <f>Application!B723</f>
        <v>2 Bedrooms</v>
      </c>
      <c r="B9" s="1082">
        <f>Application!G723</f>
        <v>3</v>
      </c>
      <c r="C9" s="1162" t="s">
        <v>384</v>
      </c>
      <c r="D9" s="428">
        <f>Application!O723</f>
        <v>2034</v>
      </c>
      <c r="E9" s="429"/>
      <c r="F9" s="1083">
        <f>3786-Application!T723</f>
        <v>3595</v>
      </c>
      <c r="G9" s="428">
        <f t="shared" si="2"/>
        <v>10785</v>
      </c>
      <c r="H9" s="429"/>
      <c r="I9" s="428">
        <f t="shared" si="0"/>
        <v>1561</v>
      </c>
      <c r="J9" s="428">
        <f t="shared" si="1"/>
        <v>4683</v>
      </c>
      <c r="K9" s="204"/>
      <c r="L9" s="305"/>
    </row>
    <row r="10" spans="1:12">
      <c r="A10" s="428" t="str">
        <f>Application!B724</f>
        <v>2 Bedrooms</v>
      </c>
      <c r="B10" s="1082">
        <f>Application!G724</f>
        <v>2</v>
      </c>
      <c r="C10" s="1162" t="s">
        <v>384</v>
      </c>
      <c r="D10" s="428">
        <f>Application!O724</f>
        <v>1144</v>
      </c>
      <c r="E10" s="429"/>
      <c r="F10" s="1083">
        <f>4054-Application!T724</f>
        <v>3863</v>
      </c>
      <c r="G10" s="428">
        <f t="shared" si="2"/>
        <v>7726</v>
      </c>
      <c r="H10" s="429"/>
      <c r="I10" s="428">
        <f t="shared" si="0"/>
        <v>2719</v>
      </c>
      <c r="J10" s="428">
        <f t="shared" si="1"/>
        <v>5438</v>
      </c>
      <c r="K10" s="204"/>
      <c r="L10" s="305"/>
    </row>
    <row r="11" spans="1:12">
      <c r="A11" s="428" t="str">
        <f>Application!B725</f>
        <v>2 Bedrooms</v>
      </c>
      <c r="B11" s="1082">
        <f>Application!G725</f>
        <v>16</v>
      </c>
      <c r="C11" s="1162"/>
      <c r="D11" s="428">
        <f>Application!O725</f>
        <v>2479</v>
      </c>
      <c r="E11" s="429"/>
      <c r="F11" s="1083"/>
      <c r="G11" s="428">
        <f t="shared" si="2"/>
        <v>0</v>
      </c>
      <c r="H11" s="429"/>
      <c r="I11" s="428" t="str">
        <f t="shared" si="0"/>
        <v/>
      </c>
      <c r="J11" s="428" t="str">
        <f t="shared" si="1"/>
        <v/>
      </c>
      <c r="K11" s="204"/>
      <c r="L11" s="305"/>
    </row>
    <row r="12" spans="1:12">
      <c r="A12" s="428" t="str">
        <f>Application!B726</f>
        <v>3 Bedrooms</v>
      </c>
      <c r="B12" s="1082">
        <f>Application!G726</f>
        <v>1</v>
      </c>
      <c r="C12" s="1162" t="s">
        <v>384</v>
      </c>
      <c r="D12" s="428">
        <f>Application!O726</f>
        <v>1294.49</v>
      </c>
      <c r="E12" s="429"/>
      <c r="F12" s="1083">
        <f>5100-Application!T726</f>
        <v>4852</v>
      </c>
      <c r="G12" s="428">
        <f t="shared" si="2"/>
        <v>4852</v>
      </c>
      <c r="H12" s="429"/>
      <c r="I12" s="428">
        <f t="shared" si="0"/>
        <v>3557.51</v>
      </c>
      <c r="J12" s="428">
        <f t="shared" si="1"/>
        <v>3557.51</v>
      </c>
      <c r="K12" s="204"/>
      <c r="L12" s="305"/>
    </row>
    <row r="13" spans="1:12">
      <c r="A13" s="428" t="str">
        <f>Application!B727</f>
        <v>3 Bedrooms</v>
      </c>
      <c r="B13" s="1082">
        <f>Application!G727</f>
        <v>2</v>
      </c>
      <c r="C13" s="1162"/>
      <c r="D13" s="428">
        <f>Application!O727</f>
        <v>1294.5999999999999</v>
      </c>
      <c r="E13" s="429"/>
      <c r="F13" s="1083"/>
      <c r="G13" s="428">
        <f t="shared" si="2"/>
        <v>0</v>
      </c>
      <c r="H13" s="429"/>
      <c r="I13" s="428" t="str">
        <f t="shared" si="0"/>
        <v/>
      </c>
      <c r="J13" s="428" t="str">
        <f t="shared" si="1"/>
        <v/>
      </c>
      <c r="K13" s="204"/>
      <c r="L13" s="305"/>
    </row>
    <row r="14" spans="1:12">
      <c r="A14" s="428" t="str">
        <f>Application!B728</f>
        <v>3 Bedrooms</v>
      </c>
      <c r="B14" s="1082">
        <f>Application!G728</f>
        <v>1</v>
      </c>
      <c r="C14" s="1162"/>
      <c r="D14" s="428">
        <f>Application!O728</f>
        <v>2323</v>
      </c>
      <c r="E14" s="429"/>
      <c r="F14" s="1083"/>
      <c r="G14" s="428">
        <f t="shared" si="2"/>
        <v>0</v>
      </c>
      <c r="H14" s="429"/>
      <c r="I14" s="428" t="str">
        <f t="shared" si="0"/>
        <v/>
      </c>
      <c r="J14" s="428" t="str">
        <f t="shared" si="1"/>
        <v/>
      </c>
      <c r="K14" s="204"/>
      <c r="L14" s="305"/>
    </row>
    <row r="15" spans="1:12">
      <c r="A15" s="428" t="str">
        <f>Application!B729</f>
        <v>3 Bedrooms</v>
      </c>
      <c r="B15" s="1082">
        <f>Application!G729</f>
        <v>19</v>
      </c>
      <c r="C15" s="1162"/>
      <c r="D15" s="428">
        <f>Application!O729</f>
        <v>2837.2</v>
      </c>
      <c r="E15" s="429"/>
      <c r="F15" s="1083"/>
      <c r="G15" s="428">
        <f t="shared" si="2"/>
        <v>0</v>
      </c>
      <c r="H15" s="429"/>
      <c r="I15" s="428" t="str">
        <f t="shared" si="0"/>
        <v/>
      </c>
      <c r="J15" s="428" t="str">
        <f t="shared" si="1"/>
        <v/>
      </c>
      <c r="K15" s="204"/>
      <c r="L15" s="305"/>
    </row>
    <row r="16" spans="1:12">
      <c r="A16" s="428" t="str">
        <f>Application!B730</f>
        <v>4 Bedrooms</v>
      </c>
      <c r="B16" s="1082">
        <f>Application!G730</f>
        <v>1</v>
      </c>
      <c r="C16" s="1162" t="s">
        <v>384</v>
      </c>
      <c r="D16" s="428">
        <f>Application!O730</f>
        <v>1412.2</v>
      </c>
      <c r="E16" s="429"/>
      <c r="F16" s="1083">
        <f>6200-Application!T730</f>
        <v>5892</v>
      </c>
      <c r="G16" s="428">
        <f t="shared" si="2"/>
        <v>5892</v>
      </c>
      <c r="H16" s="429"/>
      <c r="I16" s="428">
        <f t="shared" si="0"/>
        <v>4479.8</v>
      </c>
      <c r="J16" s="428">
        <f t="shared" si="1"/>
        <v>4479.8</v>
      </c>
      <c r="K16" s="204"/>
      <c r="L16" s="305"/>
    </row>
    <row r="17" spans="1:12">
      <c r="A17" s="428" t="str">
        <f>Application!B731</f>
        <v>4 Bedrooms</v>
      </c>
      <c r="B17" s="1082">
        <f>Application!G731</f>
        <v>9</v>
      </c>
      <c r="C17" s="1162"/>
      <c r="D17" s="428">
        <f>Application!O731</f>
        <v>3132.5</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179631.39</v>
      </c>
      <c r="E40" s="429"/>
      <c r="F40" s="429"/>
      <c r="G40" s="432">
        <f>SUM(G4:G38)*12</f>
        <v>1539768</v>
      </c>
      <c r="H40" s="433"/>
      <c r="I40" s="431"/>
      <c r="J40" s="432">
        <f>SUM(J4:J38)*12</f>
        <v>904297.31999999983</v>
      </c>
      <c r="K40" s="204"/>
      <c r="L40" s="306"/>
    </row>
    <row r="41" spans="1:12">
      <c r="A41" s="430"/>
      <c r="B41" s="431"/>
      <c r="C41" s="431"/>
      <c r="D41" s="433"/>
      <c r="E41" s="429"/>
      <c r="F41" s="429"/>
      <c r="G41" s="433"/>
      <c r="H41" s="433"/>
      <c r="I41" s="431"/>
      <c r="J41" s="433"/>
      <c r="K41" s="204"/>
      <c r="L41" s="306"/>
    </row>
    <row r="42" spans="1:12">
      <c r="A42" s="304" t="s">
        <v>2257</v>
      </c>
    </row>
    <row r="43" spans="1:12">
      <c r="A43" s="2689" t="s">
        <v>2496</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2258</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8" zoomScale="85" zoomScaleNormal="85" workbookViewId="0">
      <selection activeCell="M40" sqref="M40"/>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2093</v>
      </c>
      <c r="B1" s="211"/>
    </row>
    <row r="2" spans="1:34"/>
    <row r="3" spans="1:34" ht="15.6">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3.8">
      <c r="A4" s="219" t="s">
        <v>836</v>
      </c>
      <c r="C4" s="237">
        <v>1.0249999999999999</v>
      </c>
      <c r="E4" s="219">
        <f>Application!Y801</f>
        <v>2155576.6800000002</v>
      </c>
      <c r="G4" s="219">
        <f>E4*$C$4</f>
        <v>2209466.0970000001</v>
      </c>
      <c r="I4" s="219">
        <f>G4*$C$4</f>
        <v>2264702.749425</v>
      </c>
      <c r="K4" s="219">
        <f>I4*$C$4</f>
        <v>2321320.3181606247</v>
      </c>
      <c r="M4" s="219">
        <f>K4*$C$4</f>
        <v>2379353.3261146401</v>
      </c>
      <c r="O4" s="219">
        <f>M4*$C$4</f>
        <v>2438837.1592675061</v>
      </c>
      <c r="Q4" s="219">
        <f>O4*$C$4</f>
        <v>2499808.0882491935</v>
      </c>
      <c r="S4" s="219">
        <f>Q4*$C$4</f>
        <v>2562303.2904554233</v>
      </c>
      <c r="U4" s="219">
        <f>S4*$C$4</f>
        <v>2626360.8727168087</v>
      </c>
      <c r="W4" s="219">
        <f>U4*$C$4</f>
        <v>2692019.8945347285</v>
      </c>
      <c r="Y4" s="219">
        <f>W4*$C$4</f>
        <v>2759320.3918980965</v>
      </c>
      <c r="AA4" s="219">
        <f>Y4*$C$4</f>
        <v>2828303.4016955486</v>
      </c>
      <c r="AC4" s="219">
        <f>AA4*$C$4</f>
        <v>2899010.9867379372</v>
      </c>
      <c r="AE4" s="219">
        <f>AC4*$C$4</f>
        <v>2971486.2614063853</v>
      </c>
      <c r="AG4" s="219">
        <f>AE4*$C$4</f>
        <v>3045773.4179415447</v>
      </c>
    </row>
    <row r="5" spans="1:34" s="210" customFormat="1" ht="13.8">
      <c r="B5" s="210" t="s">
        <v>837</v>
      </c>
      <c r="C5" s="238">
        <f>IF(Application!$D$211="Special Needs",(((0.1*Application!$T$212)+(0.05*(1-Application!$T$212)))),0.05)</f>
        <v>0.05</v>
      </c>
      <c r="E5" s="221">
        <f>-E4*$C$5</f>
        <v>-107778.83400000002</v>
      </c>
      <c r="F5" s="221"/>
      <c r="G5" s="221">
        <f>-G4*$C$5</f>
        <v>-110473.30485000001</v>
      </c>
      <c r="H5" s="221"/>
      <c r="I5" s="221">
        <f>-I4*$C$5</f>
        <v>-113235.13747125001</v>
      </c>
      <c r="J5" s="221"/>
      <c r="K5" s="221">
        <f>-K4*$C$5</f>
        <v>-116066.01590803124</v>
      </c>
      <c r="L5" s="221"/>
      <c r="M5" s="221">
        <f>-M4*$C$5</f>
        <v>-118967.66630573201</v>
      </c>
      <c r="N5" s="221"/>
      <c r="O5" s="221">
        <f>-O4*$C$5</f>
        <v>-121941.85796337531</v>
      </c>
      <c r="P5" s="221"/>
      <c r="Q5" s="221">
        <f>-Q4*$C$5</f>
        <v>-124990.40441245968</v>
      </c>
      <c r="R5" s="221"/>
      <c r="S5" s="221">
        <f>-S4*$C$5</f>
        <v>-128115.16452277117</v>
      </c>
      <c r="T5" s="221"/>
      <c r="U5" s="221">
        <f>-U4*$C$5</f>
        <v>-131318.04363584044</v>
      </c>
      <c r="V5" s="221"/>
      <c r="W5" s="221">
        <f>-W4*$C$5</f>
        <v>-134600.99472673642</v>
      </c>
      <c r="X5" s="221"/>
      <c r="Y5" s="221">
        <f>-Y4*$C$5</f>
        <v>-137966.01959490482</v>
      </c>
      <c r="Z5" s="221"/>
      <c r="AA5" s="221">
        <f>-AA4*$C$5</f>
        <v>-141415.17008477743</v>
      </c>
      <c r="AB5" s="221"/>
      <c r="AC5" s="221">
        <f>-AC4*$C$5</f>
        <v>-144950.54933689686</v>
      </c>
      <c r="AD5" s="221"/>
      <c r="AE5" s="221">
        <f>-AE4*$C$5</f>
        <v>-148574.31307031927</v>
      </c>
      <c r="AF5" s="221"/>
      <c r="AG5" s="221">
        <f>-AG4*$C$5</f>
        <v>-152288.67089707725</v>
      </c>
    </row>
    <row r="6" spans="1:34" s="210" customFormat="1" ht="13.8">
      <c r="A6" s="210" t="s">
        <v>835</v>
      </c>
      <c r="C6" s="237">
        <v>1.02</v>
      </c>
      <c r="E6" s="222">
        <f>Application!Z809</f>
        <v>904297.31999999983</v>
      </c>
      <c r="F6" s="222"/>
      <c r="G6" s="222">
        <f>E6*$C$6</f>
        <v>922383.26639999985</v>
      </c>
      <c r="H6" s="222"/>
      <c r="I6" s="222">
        <f>G6*$C$6</f>
        <v>940830.93172799982</v>
      </c>
      <c r="J6" s="222"/>
      <c r="K6" s="222">
        <f>I6*$C$6</f>
        <v>959647.55036255985</v>
      </c>
      <c r="L6" s="222"/>
      <c r="M6" s="222">
        <f>K6*$C$6</f>
        <v>978840.50136981101</v>
      </c>
      <c r="N6" s="222"/>
      <c r="O6" s="222">
        <f>M6*$C$6</f>
        <v>998417.3113972072</v>
      </c>
      <c r="P6" s="222"/>
      <c r="Q6" s="222">
        <f>O6*$C$6</f>
        <v>1018385.6576251513</v>
      </c>
      <c r="R6" s="222"/>
      <c r="S6" s="222">
        <f>Q6*$C$6</f>
        <v>1038753.3707776543</v>
      </c>
      <c r="T6" s="222"/>
      <c r="U6" s="222">
        <f>S6*$C$6</f>
        <v>1059528.4381932074</v>
      </c>
      <c r="V6" s="222"/>
      <c r="W6" s="222">
        <f>U6*$C$6</f>
        <v>1080719.0069570716</v>
      </c>
      <c r="X6" s="222"/>
      <c r="Y6" s="222">
        <f>W6*$C$6</f>
        <v>1102333.3870962129</v>
      </c>
      <c r="Z6" s="222"/>
      <c r="AA6" s="222">
        <f>Y6*$C$6</f>
        <v>1124380.0548381372</v>
      </c>
      <c r="AB6" s="222"/>
      <c r="AC6" s="222">
        <f>AA6*$C$6</f>
        <v>1146867.6559349</v>
      </c>
      <c r="AD6" s="222"/>
      <c r="AE6" s="222">
        <f>AC6*$C$6</f>
        <v>1169805.0090535982</v>
      </c>
      <c r="AF6" s="222"/>
      <c r="AG6" s="222">
        <f>AE6*$C$6</f>
        <v>1193201.1092346702</v>
      </c>
    </row>
    <row r="7" spans="1:34" s="210" customFormat="1" ht="13.8">
      <c r="B7" s="210" t="s">
        <v>837</v>
      </c>
      <c r="C7" s="238">
        <f>IF(Application!$D$211="Special Needs",(((0.1*Application!$T$212)+(0.05*(1-Application!$T$212)))),0.05)</f>
        <v>0.05</v>
      </c>
      <c r="E7" s="221">
        <f>-E6*$C$7</f>
        <v>-45214.865999999995</v>
      </c>
      <c r="F7" s="221"/>
      <c r="G7" s="221">
        <f>-G6*$C$7</f>
        <v>-46119.163319999992</v>
      </c>
      <c r="H7" s="221"/>
      <c r="I7" s="221">
        <f>-I6*$C$7</f>
        <v>-47041.546586399993</v>
      </c>
      <c r="J7" s="221"/>
      <c r="K7" s="221">
        <f>-K6*$C$7</f>
        <v>-47982.377518127993</v>
      </c>
      <c r="L7" s="221"/>
      <c r="M7" s="221">
        <f>-M6*$C$7</f>
        <v>-48942.025068490555</v>
      </c>
      <c r="N7" s="221"/>
      <c r="O7" s="221">
        <f>-O6*$C$7</f>
        <v>-49920.865569860362</v>
      </c>
      <c r="P7" s="221"/>
      <c r="Q7" s="221">
        <f>-Q6*$C$7</f>
        <v>-50919.282881257568</v>
      </c>
      <c r="R7" s="221"/>
      <c r="S7" s="221">
        <f>-S6*$C$7</f>
        <v>-51937.668538882717</v>
      </c>
      <c r="T7" s="221"/>
      <c r="U7" s="221">
        <f>-U6*$C$7</f>
        <v>-52976.42190966037</v>
      </c>
      <c r="V7" s="221"/>
      <c r="W7" s="221">
        <f>-W6*$C$7</f>
        <v>-54035.950347853584</v>
      </c>
      <c r="X7" s="221"/>
      <c r="Y7" s="221">
        <f>-Y6*$C$7</f>
        <v>-55116.669354810649</v>
      </c>
      <c r="Z7" s="221"/>
      <c r="AA7" s="221">
        <f>-AA6*$C$7</f>
        <v>-56219.002741906865</v>
      </c>
      <c r="AB7" s="221"/>
      <c r="AC7" s="221">
        <f>-AC6*$C$7</f>
        <v>-57343.382796745005</v>
      </c>
      <c r="AD7" s="221"/>
      <c r="AE7" s="221">
        <f>-AE6*$C$7</f>
        <v>-58490.250452679909</v>
      </c>
      <c r="AF7" s="221"/>
      <c r="AG7" s="221">
        <f>-AG6*$C$7</f>
        <v>-59660.055461733515</v>
      </c>
    </row>
    <row r="8" spans="1:34" s="210" customFormat="1" ht="13.8">
      <c r="A8" s="210" t="s">
        <v>287</v>
      </c>
      <c r="C8" s="237">
        <v>1.0249999999999999</v>
      </c>
      <c r="E8" s="222">
        <f>Application!Z817</f>
        <v>13350</v>
      </c>
      <c r="F8" s="222"/>
      <c r="G8" s="222">
        <f>E8*$C$8</f>
        <v>13683.749999999998</v>
      </c>
      <c r="H8" s="222"/>
      <c r="I8" s="222">
        <f>G8*$C$8</f>
        <v>14025.843749999996</v>
      </c>
      <c r="J8" s="222"/>
      <c r="K8" s="222">
        <f>I8*$C$8</f>
        <v>14376.489843749994</v>
      </c>
      <c r="L8" s="222"/>
      <c r="M8" s="222">
        <f>K8*$C$8</f>
        <v>14735.902089843743</v>
      </c>
      <c r="N8" s="222"/>
      <c r="O8" s="222">
        <f>M8*$C$8</f>
        <v>15104.299642089834</v>
      </c>
      <c r="P8" s="222"/>
      <c r="Q8" s="222">
        <f>O8*$C$8</f>
        <v>15481.907133142078</v>
      </c>
      <c r="R8" s="222"/>
      <c r="S8" s="222">
        <f>Q8*$C$8</f>
        <v>15868.954811470629</v>
      </c>
      <c r="T8" s="222"/>
      <c r="U8" s="222">
        <f>S8*$C$8</f>
        <v>16265.678681757392</v>
      </c>
      <c r="V8" s="222"/>
      <c r="W8" s="222">
        <f>U8*$C$8</f>
        <v>16672.320648801324</v>
      </c>
      <c r="X8" s="222"/>
      <c r="Y8" s="222">
        <f>W8*$C$8</f>
        <v>17089.128665021355</v>
      </c>
      <c r="Z8" s="222"/>
      <c r="AA8" s="222">
        <f>Y8*$C$8</f>
        <v>17516.356881646887</v>
      </c>
      <c r="AB8" s="222"/>
      <c r="AC8" s="222">
        <f>AA8*$C$8</f>
        <v>17954.265803688057</v>
      </c>
      <c r="AD8" s="222"/>
      <c r="AE8" s="222">
        <f>AC8*$C$8</f>
        <v>18403.122448780257</v>
      </c>
      <c r="AF8" s="222"/>
      <c r="AG8" s="222">
        <f>AE8*$C$8</f>
        <v>18863.200509999762</v>
      </c>
    </row>
    <row r="9" spans="1:34" s="210" customFormat="1" ht="13.8">
      <c r="B9" s="210" t="s">
        <v>837</v>
      </c>
      <c r="C9" s="238">
        <f>IF(Application!$D$211="Special Needs",(((0.1*Application!$T$212)+(0.05*(1-Application!$T$212)))),0.05)</f>
        <v>0.05</v>
      </c>
      <c r="E9" s="221">
        <f>-E8*$C$9</f>
        <v>-667.5</v>
      </c>
      <c r="F9" s="221"/>
      <c r="G9" s="221">
        <f>-G8*$C$9</f>
        <v>-684.1875</v>
      </c>
      <c r="H9" s="221"/>
      <c r="I9" s="221">
        <f>-I8*$C$9</f>
        <v>-701.29218749999984</v>
      </c>
      <c r="J9" s="221"/>
      <c r="K9" s="221">
        <f>-K8*$C$9</f>
        <v>-718.8244921874998</v>
      </c>
      <c r="L9" s="221"/>
      <c r="M9" s="221">
        <f>-M8*$C$9</f>
        <v>-736.79510449218719</v>
      </c>
      <c r="N9" s="221"/>
      <c r="O9" s="221">
        <f>-O8*$C$9</f>
        <v>-755.21498210449181</v>
      </c>
      <c r="P9" s="221"/>
      <c r="Q9" s="221">
        <f>-Q8*$C$9</f>
        <v>-774.09535665710393</v>
      </c>
      <c r="R9" s="221"/>
      <c r="S9" s="221">
        <f>-S8*$C$9</f>
        <v>-793.44774057353152</v>
      </c>
      <c r="T9" s="221"/>
      <c r="U9" s="221">
        <f>-U8*$C$9</f>
        <v>-813.28393408786962</v>
      </c>
      <c r="V9" s="221"/>
      <c r="W9" s="221">
        <f>-W8*$C$9</f>
        <v>-833.61603244006619</v>
      </c>
      <c r="X9" s="221"/>
      <c r="Y9" s="221">
        <f>-Y8*$C$9</f>
        <v>-854.45643325106778</v>
      </c>
      <c r="Z9" s="221"/>
      <c r="AA9" s="221">
        <f>-AA8*$C$9</f>
        <v>-875.81784408234444</v>
      </c>
      <c r="AB9" s="221"/>
      <c r="AC9" s="221">
        <f>-AC8*$C$9</f>
        <v>-897.71329018440292</v>
      </c>
      <c r="AD9" s="221"/>
      <c r="AE9" s="221">
        <f>-AE8*$C$9</f>
        <v>-920.15612243901296</v>
      </c>
      <c r="AF9" s="221"/>
      <c r="AG9" s="221">
        <f>-AG8*$C$9</f>
        <v>-943.16002549998814</v>
      </c>
    </row>
    <row r="10" spans="1:34" s="210" customFormat="1" ht="13.8">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858</v>
      </c>
      <c r="C11" s="216"/>
      <c r="E11" s="223">
        <f>SUM(E4:E10)</f>
        <v>2919562.8000000003</v>
      </c>
      <c r="G11" s="223">
        <f>SUM(G4:G10)</f>
        <v>2988256.4577300004</v>
      </c>
      <c r="I11" s="223">
        <f>SUM(I4:I10)</f>
        <v>3058581.5486578504</v>
      </c>
      <c r="K11" s="223">
        <f>SUM(K4:K10)</f>
        <v>3130577.1404485875</v>
      </c>
      <c r="M11" s="223">
        <f>SUM(M4:M10)</f>
        <v>3204283.24309558</v>
      </c>
      <c r="O11" s="223">
        <f>SUM(O4:O10)</f>
        <v>3279740.8317914628</v>
      </c>
      <c r="Q11" s="223">
        <f>SUM(Q4:Q10)</f>
        <v>3356991.8703571125</v>
      </c>
      <c r="S11" s="223">
        <f>SUM(S4:S10)</f>
        <v>3436079.3352423208</v>
      </c>
      <c r="U11" s="223">
        <f>SUM(U4:U10)</f>
        <v>3517047.2401121845</v>
      </c>
      <c r="W11" s="223">
        <f>SUM(W4:W10)</f>
        <v>3599940.6610335712</v>
      </c>
      <c r="Y11" s="223">
        <f>SUM(Y4:Y10)</f>
        <v>3684805.762276364</v>
      </c>
      <c r="AA11" s="223">
        <f>SUM(AA4:AA10)</f>
        <v>3771689.8227445665</v>
      </c>
      <c r="AC11" s="223">
        <f>SUM(AC4:AC10)</f>
        <v>3860641.2630526996</v>
      </c>
      <c r="AE11" s="223">
        <f>SUM(AE4:AE10)</f>
        <v>3951709.6732633254</v>
      </c>
      <c r="AG11" s="223">
        <f>SUM(AG4:AG10)</f>
        <v>4044945.8413019041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840</v>
      </c>
      <c r="C15" s="176"/>
      <c r="E15" s="219">
        <f>Application!W847</f>
        <v>76572</v>
      </c>
      <c r="G15" s="219">
        <f>E15*$C$14</f>
        <v>79252.01999999999</v>
      </c>
      <c r="I15" s="219">
        <f>G15*$C$14</f>
        <v>82025.840699999986</v>
      </c>
      <c r="K15" s="219">
        <f>I15*$C$14</f>
        <v>84896.745124499983</v>
      </c>
      <c r="M15" s="219">
        <f>K15*$C$14</f>
        <v>87868.131203857469</v>
      </c>
      <c r="O15" s="219">
        <f>M15*$C$14</f>
        <v>90943.515795992469</v>
      </c>
      <c r="Q15" s="219">
        <f>O15*$C$14</f>
        <v>94126.5388488522</v>
      </c>
      <c r="S15" s="219">
        <f>Q15*$C$14</f>
        <v>97420.967708562021</v>
      </c>
      <c r="U15" s="219">
        <f>S15*$C$14</f>
        <v>100830.70157836168</v>
      </c>
      <c r="W15" s="219">
        <f>U15*$C$14</f>
        <v>104359.77613360433</v>
      </c>
      <c r="Y15" s="219">
        <f>W15*$C$14</f>
        <v>108012.36829828047</v>
      </c>
      <c r="AA15" s="219">
        <f>Y15*$C$14</f>
        <v>111792.80118872029</v>
      </c>
      <c r="AC15" s="219">
        <f>AA15*$C$14</f>
        <v>115705.54923032549</v>
      </c>
      <c r="AE15" s="219">
        <f>AC15*$C$14</f>
        <v>119755.24345338687</v>
      </c>
      <c r="AG15" s="219">
        <f>AE15*$C$14</f>
        <v>123946.6769742554</v>
      </c>
    </row>
    <row r="16" spans="1:34" s="210" customFormat="1" ht="13.8">
      <c r="A16" s="210" t="s">
        <v>343</v>
      </c>
      <c r="C16" s="233"/>
      <c r="E16" s="222">
        <f>Application!W849</f>
        <v>84780</v>
      </c>
      <c r="F16" s="222"/>
      <c r="G16" s="222">
        <f t="shared" ref="G16:AG21" si="0">E16*$C$14</f>
        <v>87747.299999999988</v>
      </c>
      <c r="H16" s="222"/>
      <c r="I16" s="222">
        <f t="shared" si="0"/>
        <v>90818.455499999982</v>
      </c>
      <c r="J16" s="222"/>
      <c r="K16" s="222">
        <f t="shared" si="0"/>
        <v>93997.101442499974</v>
      </c>
      <c r="L16" s="222"/>
      <c r="M16" s="222">
        <f t="shared" si="0"/>
        <v>97286.999992987461</v>
      </c>
      <c r="N16" s="222"/>
      <c r="O16" s="222">
        <f t="shared" si="0"/>
        <v>100692.04499274201</v>
      </c>
      <c r="P16" s="222"/>
      <c r="Q16" s="222">
        <f t="shared" si="0"/>
        <v>104216.26656748797</v>
      </c>
      <c r="R16" s="222"/>
      <c r="S16" s="222">
        <f t="shared" si="0"/>
        <v>107863.83589735004</v>
      </c>
      <c r="T16" s="222"/>
      <c r="U16" s="222">
        <f t="shared" si="0"/>
        <v>111639.07015375729</v>
      </c>
      <c r="V16" s="222"/>
      <c r="W16" s="222">
        <f t="shared" si="0"/>
        <v>115546.43760913878</v>
      </c>
      <c r="X16" s="222"/>
      <c r="Y16" s="222">
        <f t="shared" si="0"/>
        <v>119590.56292545862</v>
      </c>
      <c r="Z16" s="222"/>
      <c r="AA16" s="222">
        <f t="shared" si="0"/>
        <v>123776.23262784966</v>
      </c>
      <c r="AB16" s="222"/>
      <c r="AC16" s="222">
        <f t="shared" si="0"/>
        <v>128108.40076982439</v>
      </c>
      <c r="AD16" s="222"/>
      <c r="AE16" s="222">
        <f t="shared" si="0"/>
        <v>132592.19479676825</v>
      </c>
      <c r="AF16" s="222"/>
      <c r="AG16" s="222">
        <f t="shared" si="0"/>
        <v>137232.92161465512</v>
      </c>
    </row>
    <row r="17" spans="1:33" s="210" customFormat="1" ht="13.8">
      <c r="A17" s="210" t="s">
        <v>560</v>
      </c>
      <c r="C17" s="233"/>
      <c r="E17" s="222">
        <f>Application!W855</f>
        <v>207775</v>
      </c>
      <c r="F17" s="222"/>
      <c r="G17" s="222">
        <f t="shared" si="0"/>
        <v>215047.12499999997</v>
      </c>
      <c r="H17" s="222"/>
      <c r="I17" s="222">
        <f t="shared" si="0"/>
        <v>222573.77437499995</v>
      </c>
      <c r="J17" s="222"/>
      <c r="K17" s="222">
        <f t="shared" si="0"/>
        <v>230363.85647812494</v>
      </c>
      <c r="L17" s="222"/>
      <c r="M17" s="222">
        <f t="shared" si="0"/>
        <v>238426.5914548593</v>
      </c>
      <c r="N17" s="222"/>
      <c r="O17" s="222">
        <f t="shared" si="0"/>
        <v>246771.52215577936</v>
      </c>
      <c r="P17" s="222"/>
      <c r="Q17" s="222">
        <f t="shared" si="0"/>
        <v>255408.52543123162</v>
      </c>
      <c r="R17" s="222"/>
      <c r="S17" s="222">
        <f t="shared" si="0"/>
        <v>264347.82382132474</v>
      </c>
      <c r="T17" s="222"/>
      <c r="U17" s="222">
        <f t="shared" si="0"/>
        <v>273599.99765507109</v>
      </c>
      <c r="V17" s="222"/>
      <c r="W17" s="222">
        <f t="shared" si="0"/>
        <v>283175.99757299857</v>
      </c>
      <c r="X17" s="222"/>
      <c r="Y17" s="222">
        <f t="shared" si="0"/>
        <v>293087.15748805349</v>
      </c>
      <c r="Z17" s="222"/>
      <c r="AA17" s="222">
        <f t="shared" si="0"/>
        <v>303345.20800013532</v>
      </c>
      <c r="AB17" s="222"/>
      <c r="AC17" s="222">
        <f t="shared" si="0"/>
        <v>313962.29028014001</v>
      </c>
      <c r="AD17" s="222"/>
      <c r="AE17" s="222">
        <f t="shared" si="0"/>
        <v>324950.97043994488</v>
      </c>
      <c r="AF17" s="222"/>
      <c r="AG17" s="222">
        <f t="shared" si="0"/>
        <v>336324.25440534292</v>
      </c>
    </row>
    <row r="18" spans="1:33" s="210" customFormat="1" ht="13.8">
      <c r="A18" s="210" t="s">
        <v>841</v>
      </c>
      <c r="C18" s="233"/>
      <c r="E18" s="222">
        <f>Application!W862</f>
        <v>321650</v>
      </c>
      <c r="F18" s="222"/>
      <c r="G18" s="222">
        <f t="shared" si="0"/>
        <v>332907.75</v>
      </c>
      <c r="H18" s="222"/>
      <c r="I18" s="222">
        <f t="shared" si="0"/>
        <v>344559.52124999999</v>
      </c>
      <c r="J18" s="222"/>
      <c r="K18" s="222">
        <f t="shared" si="0"/>
        <v>356619.10449374997</v>
      </c>
      <c r="L18" s="222"/>
      <c r="M18" s="222">
        <f t="shared" si="0"/>
        <v>369100.77315103117</v>
      </c>
      <c r="N18" s="222"/>
      <c r="O18" s="222">
        <f t="shared" si="0"/>
        <v>382019.30021131726</v>
      </c>
      <c r="P18" s="222"/>
      <c r="Q18" s="222">
        <f t="shared" si="0"/>
        <v>395389.97571871331</v>
      </c>
      <c r="R18" s="222"/>
      <c r="S18" s="222">
        <f t="shared" si="0"/>
        <v>409228.62486886827</v>
      </c>
      <c r="T18" s="222"/>
      <c r="U18" s="222">
        <f t="shared" si="0"/>
        <v>423551.62673927861</v>
      </c>
      <c r="V18" s="222"/>
      <c r="W18" s="222">
        <f t="shared" si="0"/>
        <v>438375.93367515336</v>
      </c>
      <c r="X18" s="222"/>
      <c r="Y18" s="222">
        <f t="shared" si="0"/>
        <v>453719.09135378368</v>
      </c>
      <c r="Z18" s="222"/>
      <c r="AA18" s="222">
        <f t="shared" si="0"/>
        <v>469599.25955116609</v>
      </c>
      <c r="AB18" s="222"/>
      <c r="AC18" s="222">
        <f t="shared" si="0"/>
        <v>486035.23363545688</v>
      </c>
      <c r="AD18" s="222"/>
      <c r="AE18" s="222">
        <f t="shared" si="0"/>
        <v>503046.46681269782</v>
      </c>
      <c r="AF18" s="222"/>
      <c r="AG18" s="222">
        <f t="shared" si="0"/>
        <v>520653.09315114218</v>
      </c>
    </row>
    <row r="19" spans="1:33" s="210" customFormat="1" ht="13.8">
      <c r="A19" s="210" t="s">
        <v>155</v>
      </c>
      <c r="C19" s="233"/>
      <c r="E19" s="222">
        <f>Application!W863</f>
        <v>108000</v>
      </c>
      <c r="F19" s="222"/>
      <c r="G19" s="222">
        <f t="shared" si="0"/>
        <v>111779.99999999999</v>
      </c>
      <c r="H19" s="222"/>
      <c r="I19" s="222">
        <f t="shared" si="0"/>
        <v>115692.29999999997</v>
      </c>
      <c r="J19" s="222"/>
      <c r="K19" s="222">
        <f t="shared" si="0"/>
        <v>119741.53049999996</v>
      </c>
      <c r="L19" s="222"/>
      <c r="M19" s="222">
        <f t="shared" si="0"/>
        <v>123932.48406749996</v>
      </c>
      <c r="N19" s="222"/>
      <c r="O19" s="222">
        <f t="shared" si="0"/>
        <v>128270.12100986244</v>
      </c>
      <c r="P19" s="222"/>
      <c r="Q19" s="222">
        <f t="shared" si="0"/>
        <v>132759.57524520761</v>
      </c>
      <c r="R19" s="222"/>
      <c r="S19" s="222">
        <f t="shared" si="0"/>
        <v>137406.16037878988</v>
      </c>
      <c r="T19" s="222"/>
      <c r="U19" s="222">
        <f t="shared" si="0"/>
        <v>142215.37599204751</v>
      </c>
      <c r="V19" s="222"/>
      <c r="W19" s="222">
        <f t="shared" si="0"/>
        <v>147192.91415176916</v>
      </c>
      <c r="X19" s="222"/>
      <c r="Y19" s="222">
        <f t="shared" si="0"/>
        <v>152344.66614708106</v>
      </c>
      <c r="Z19" s="222"/>
      <c r="AA19" s="222">
        <f t="shared" si="0"/>
        <v>157676.72946222889</v>
      </c>
      <c r="AB19" s="222"/>
      <c r="AC19" s="222">
        <f t="shared" si="0"/>
        <v>163195.41499340688</v>
      </c>
      <c r="AD19" s="222"/>
      <c r="AE19" s="222">
        <f t="shared" si="0"/>
        <v>168907.25451817611</v>
      </c>
      <c r="AF19" s="222"/>
      <c r="AG19" s="222">
        <f t="shared" si="0"/>
        <v>174819.00842631227</v>
      </c>
    </row>
    <row r="20" spans="1:33" s="210" customFormat="1" ht="13.8">
      <c r="A20" s="210" t="s">
        <v>389</v>
      </c>
      <c r="C20" s="233"/>
      <c r="E20" s="222">
        <f>Application!W872</f>
        <v>133248</v>
      </c>
      <c r="F20" s="222"/>
      <c r="G20" s="222">
        <f t="shared" si="0"/>
        <v>137911.67999999999</v>
      </c>
      <c r="H20" s="222"/>
      <c r="I20" s="222">
        <f t="shared" si="0"/>
        <v>142738.58879999997</v>
      </c>
      <c r="J20" s="222"/>
      <c r="K20" s="222">
        <f t="shared" si="0"/>
        <v>147734.43940799995</v>
      </c>
      <c r="L20" s="222"/>
      <c r="M20" s="222">
        <f t="shared" si="0"/>
        <v>152905.14478727995</v>
      </c>
      <c r="N20" s="222"/>
      <c r="O20" s="222">
        <f t="shared" si="0"/>
        <v>158256.82485483473</v>
      </c>
      <c r="P20" s="222"/>
      <c r="Q20" s="222">
        <f t="shared" si="0"/>
        <v>163795.81372475394</v>
      </c>
      <c r="R20" s="222"/>
      <c r="S20" s="222">
        <f t="shared" si="0"/>
        <v>169528.66720512032</v>
      </c>
      <c r="T20" s="222"/>
      <c r="U20" s="222">
        <f t="shared" si="0"/>
        <v>175462.17055729951</v>
      </c>
      <c r="V20" s="222"/>
      <c r="W20" s="222">
        <f t="shared" si="0"/>
        <v>181603.34652680499</v>
      </c>
      <c r="X20" s="222"/>
      <c r="Y20" s="222">
        <f t="shared" si="0"/>
        <v>187959.46365524316</v>
      </c>
      <c r="Z20" s="222"/>
      <c r="AA20" s="222">
        <f t="shared" si="0"/>
        <v>194538.04488317666</v>
      </c>
      <c r="AB20" s="222"/>
      <c r="AC20" s="222">
        <f t="shared" si="0"/>
        <v>201346.87645408782</v>
      </c>
      <c r="AD20" s="222"/>
      <c r="AE20" s="222">
        <f t="shared" si="0"/>
        <v>208394.01712998087</v>
      </c>
      <c r="AF20" s="222"/>
      <c r="AG20" s="222">
        <f t="shared" si="0"/>
        <v>215687.80772953018</v>
      </c>
    </row>
    <row r="21" spans="1:33" s="210" customFormat="1" ht="13.8">
      <c r="A21" s="226" t="s">
        <v>961</v>
      </c>
      <c r="B21" s="226"/>
      <c r="C21" s="233"/>
      <c r="E21" s="232">
        <f>Application!W879</f>
        <v>20000</v>
      </c>
      <c r="F21" s="222"/>
      <c r="G21" s="232">
        <f t="shared" si="0"/>
        <v>20700</v>
      </c>
      <c r="H21" s="222"/>
      <c r="I21" s="232">
        <f t="shared" si="0"/>
        <v>21424.5</v>
      </c>
      <c r="J21" s="222"/>
      <c r="K21" s="232">
        <f t="shared" si="0"/>
        <v>22174.357499999998</v>
      </c>
      <c r="L21" s="222"/>
      <c r="M21" s="232">
        <f t="shared" si="0"/>
        <v>22950.460012499996</v>
      </c>
      <c r="N21" s="222"/>
      <c r="O21" s="232">
        <f t="shared" si="0"/>
        <v>23753.726112937493</v>
      </c>
      <c r="P21" s="222"/>
      <c r="Q21" s="232">
        <f t="shared" si="0"/>
        <v>24585.106526890304</v>
      </c>
      <c r="R21" s="222"/>
      <c r="S21" s="232">
        <f t="shared" si="0"/>
        <v>25445.585255331462</v>
      </c>
      <c r="T21" s="222"/>
      <c r="U21" s="232">
        <f t="shared" si="0"/>
        <v>26336.18073926806</v>
      </c>
      <c r="V21" s="222"/>
      <c r="W21" s="232">
        <f t="shared" si="0"/>
        <v>27257.947065142442</v>
      </c>
      <c r="X21" s="222"/>
      <c r="Y21" s="232">
        <f t="shared" si="0"/>
        <v>28211.975212422425</v>
      </c>
      <c r="Z21" s="222"/>
      <c r="AA21" s="232">
        <f t="shared" si="0"/>
        <v>29199.394344857206</v>
      </c>
      <c r="AB21" s="222"/>
      <c r="AC21" s="232">
        <f t="shared" si="0"/>
        <v>30221.373146927206</v>
      </c>
      <c r="AD21" s="222"/>
      <c r="AE21" s="232">
        <f t="shared" si="0"/>
        <v>31279.121207069657</v>
      </c>
      <c r="AF21" s="222"/>
      <c r="AG21" s="232">
        <f t="shared" si="0"/>
        <v>32373.890449317092</v>
      </c>
    </row>
    <row r="22" spans="1:33" s="223" customFormat="1" ht="13.8">
      <c r="A22" s="223" t="s">
        <v>842</v>
      </c>
      <c r="C22" s="233"/>
      <c r="E22" s="223">
        <f>SUM(E15:E21)</f>
        <v>952025</v>
      </c>
      <c r="G22" s="223">
        <f>SUM(G15:G21)</f>
        <v>985345.875</v>
      </c>
      <c r="I22" s="223">
        <f>SUM(I15:I21)</f>
        <v>1019832.9806249999</v>
      </c>
      <c r="K22" s="223">
        <f>SUM(K15:K21)</f>
        <v>1055527.1349468748</v>
      </c>
      <c r="M22" s="223">
        <f>SUM(M15:M21)</f>
        <v>1092470.5846700154</v>
      </c>
      <c r="O22" s="223">
        <f>SUM(O15:O21)</f>
        <v>1130707.0551334659</v>
      </c>
      <c r="Q22" s="223">
        <f>SUM(Q15:Q21)</f>
        <v>1170281.8020631371</v>
      </c>
      <c r="S22" s="223">
        <f>SUM(S15:S21)</f>
        <v>1211241.6651353466</v>
      </c>
      <c r="U22" s="223">
        <f>SUM(U15:U21)</f>
        <v>1253635.1234150839</v>
      </c>
      <c r="W22" s="223">
        <f>SUM(W15:W21)</f>
        <v>1297512.3527346118</v>
      </c>
      <c r="Y22" s="223">
        <f>SUM(Y15:Y21)</f>
        <v>1342925.2850803228</v>
      </c>
      <c r="AA22" s="223">
        <f>SUM(AA15:AA21)</f>
        <v>1389927.6700581342</v>
      </c>
      <c r="AC22" s="223">
        <f>SUM(AC15:AC21)</f>
        <v>1438575.1385101688</v>
      </c>
      <c r="AE22" s="223">
        <f>SUM(AE15:AE21)</f>
        <v>1488925.2683580245</v>
      </c>
      <c r="AG22" s="223">
        <f>SUM(AG15:AG21)</f>
        <v>1541037.6527505552</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844</v>
      </c>
      <c r="C27" s="237">
        <v>1.03</v>
      </c>
      <c r="E27" s="222">
        <f>Application!AC888</f>
        <v>47500</v>
      </c>
      <c r="F27" s="222"/>
      <c r="G27" s="222">
        <f>E27*$C$27</f>
        <v>48925</v>
      </c>
      <c r="H27" s="222"/>
      <c r="I27" s="222">
        <f>G27*$C$27</f>
        <v>50392.75</v>
      </c>
      <c r="J27" s="222"/>
      <c r="K27" s="222">
        <f>I27*$C$27</f>
        <v>51904.532500000001</v>
      </c>
      <c r="L27" s="222"/>
      <c r="M27" s="222">
        <f>K27*$C$27</f>
        <v>53461.668475000006</v>
      </c>
      <c r="N27" s="222"/>
      <c r="O27" s="222">
        <f>M27*$C$27</f>
        <v>55065.51852925001</v>
      </c>
      <c r="P27" s="222"/>
      <c r="Q27" s="222">
        <f>O27*$C$27</f>
        <v>56717.484085127515</v>
      </c>
      <c r="R27" s="222"/>
      <c r="S27" s="222">
        <f>Q27*$C$27</f>
        <v>58419.008607681339</v>
      </c>
      <c r="T27" s="222"/>
      <c r="U27" s="222">
        <f>S27*$C$27</f>
        <v>60171.578865911782</v>
      </c>
      <c r="V27" s="222"/>
      <c r="W27" s="222">
        <f>U27*$C$27</f>
        <v>61976.726231889137</v>
      </c>
      <c r="X27" s="222"/>
      <c r="Y27" s="222">
        <f>W27*$C$27</f>
        <v>63836.028018845813</v>
      </c>
      <c r="Z27" s="222"/>
      <c r="AA27" s="222">
        <f>Y27*$C$27</f>
        <v>65751.108859411193</v>
      </c>
      <c r="AB27" s="222"/>
      <c r="AC27" s="222">
        <f>AA27*$C$27</f>
        <v>67723.642125193524</v>
      </c>
      <c r="AD27" s="222"/>
      <c r="AE27" s="222">
        <f>AC27*$C$27</f>
        <v>69755.351388949333</v>
      </c>
      <c r="AF27" s="222"/>
      <c r="AG27" s="222">
        <f>AE27*$C$27</f>
        <v>71848.011930617809</v>
      </c>
    </row>
    <row r="28" spans="1:33" s="210" customFormat="1" ht="13.8">
      <c r="A28" s="210" t="s">
        <v>845</v>
      </c>
      <c r="C28" s="237">
        <v>1</v>
      </c>
      <c r="E28" s="222">
        <f>Application!AC889</f>
        <v>45000</v>
      </c>
      <c r="F28" s="222"/>
      <c r="G28" s="222">
        <f>$E$28</f>
        <v>45000</v>
      </c>
      <c r="H28" s="222"/>
      <c r="I28" s="222">
        <f>$E$28</f>
        <v>45000</v>
      </c>
      <c r="J28" s="222"/>
      <c r="K28" s="222">
        <f>$E$28</f>
        <v>45000</v>
      </c>
      <c r="L28" s="222"/>
      <c r="M28" s="222">
        <f>$E$28</f>
        <v>45000</v>
      </c>
      <c r="N28" s="222"/>
      <c r="O28" s="222">
        <f>$E$28</f>
        <v>45000</v>
      </c>
      <c r="P28" s="222"/>
      <c r="Q28" s="222">
        <f>$E$28</f>
        <v>45000</v>
      </c>
      <c r="R28" s="222"/>
      <c r="S28" s="222">
        <f>$E$28</f>
        <v>45000</v>
      </c>
      <c r="T28" s="222"/>
      <c r="U28" s="222">
        <f>$E$28</f>
        <v>45000</v>
      </c>
      <c r="V28" s="222"/>
      <c r="W28" s="222">
        <f>$E$28</f>
        <v>45000</v>
      </c>
      <c r="X28" s="222"/>
      <c r="Y28" s="222">
        <f>$E$28</f>
        <v>45000</v>
      </c>
      <c r="Z28" s="222"/>
      <c r="AA28" s="222">
        <f>$E$28</f>
        <v>45000</v>
      </c>
      <c r="AB28" s="222"/>
      <c r="AC28" s="222">
        <f>$E$28</f>
        <v>45000</v>
      </c>
      <c r="AD28" s="222"/>
      <c r="AE28" s="222">
        <f>$E$28</f>
        <v>45000</v>
      </c>
      <c r="AF28" s="222"/>
      <c r="AG28" s="222">
        <f>$E$28</f>
        <v>45000</v>
      </c>
    </row>
    <row r="29" spans="1:33" s="210" customFormat="1" ht="13.8">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843</v>
      </c>
      <c r="C30" s="237">
        <v>1.02</v>
      </c>
      <c r="E30" s="222">
        <f>Application!AC891</f>
        <v>12542</v>
      </c>
      <c r="F30" s="222"/>
      <c r="G30" s="222">
        <f>E30*$C$30</f>
        <v>12792.84</v>
      </c>
      <c r="H30" s="222"/>
      <c r="I30" s="222">
        <f>G30*$C$30</f>
        <v>13048.6968</v>
      </c>
      <c r="J30" s="222"/>
      <c r="K30" s="222">
        <f>I30*$C$30</f>
        <v>13309.670736</v>
      </c>
      <c r="L30" s="222"/>
      <c r="M30" s="222">
        <f>K30*$C$30</f>
        <v>13575.864150720001</v>
      </c>
      <c r="N30" s="222"/>
      <c r="O30" s="222">
        <f>M30*$C$30</f>
        <v>13847.381433734401</v>
      </c>
      <c r="P30" s="222"/>
      <c r="Q30" s="222">
        <f>O30*$C$30</f>
        <v>14124.32906240909</v>
      </c>
      <c r="R30" s="222"/>
      <c r="S30" s="222">
        <f>Q30*$C$30</f>
        <v>14406.815643657272</v>
      </c>
      <c r="T30" s="222"/>
      <c r="U30" s="222">
        <f>S30*$C$30</f>
        <v>14694.951956530418</v>
      </c>
      <c r="V30" s="222"/>
      <c r="W30" s="222">
        <f>U30*$C$30</f>
        <v>14988.850995661027</v>
      </c>
      <c r="X30" s="222"/>
      <c r="Y30" s="222">
        <f>W30*$C$30</f>
        <v>15288.628015574248</v>
      </c>
      <c r="Z30" s="222"/>
      <c r="AA30" s="222">
        <f>Y30*$C$30</f>
        <v>15594.400575885733</v>
      </c>
      <c r="AB30" s="222"/>
      <c r="AC30" s="222">
        <f>AA30*$C$30</f>
        <v>15906.288587403447</v>
      </c>
      <c r="AD30" s="222"/>
      <c r="AE30" s="222">
        <f>AC30*$C$30</f>
        <v>16224.414359151517</v>
      </c>
      <c r="AF30" s="222"/>
      <c r="AG30" s="222">
        <f>AE30*$C$30</f>
        <v>16548.902646334547</v>
      </c>
    </row>
    <row r="31" spans="1:33" s="210" customFormat="1" ht="13.8">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Bond Issuer Fees</v>
      </c>
      <c r="C32" s="316">
        <v>1</v>
      </c>
      <c r="E32" s="222">
        <f>Application!AC894</f>
        <v>23538</v>
      </c>
      <c r="F32" s="222"/>
      <c r="G32" s="222">
        <f>E32*$C$32</f>
        <v>23538</v>
      </c>
      <c r="H32" s="222"/>
      <c r="I32" s="222">
        <f>G32*$C$32</f>
        <v>23538</v>
      </c>
      <c r="J32" s="222"/>
      <c r="K32" s="222">
        <f>I32*$C$32</f>
        <v>23538</v>
      </c>
      <c r="L32" s="222"/>
      <c r="M32" s="222">
        <f>K32*$C$32</f>
        <v>23538</v>
      </c>
      <c r="N32" s="222"/>
      <c r="O32" s="222">
        <f>M32*$C$32</f>
        <v>23538</v>
      </c>
      <c r="P32" s="222"/>
      <c r="Q32" s="222">
        <f>O32*$C$32</f>
        <v>23538</v>
      </c>
      <c r="R32" s="222"/>
      <c r="S32" s="222">
        <f>Q32*$C$32</f>
        <v>23538</v>
      </c>
      <c r="T32" s="222"/>
      <c r="U32" s="222">
        <f>S32*$C$32</f>
        <v>23538</v>
      </c>
      <c r="V32" s="222"/>
      <c r="W32" s="222">
        <f>U32*$C$32</f>
        <v>23538</v>
      </c>
      <c r="X32" s="222"/>
      <c r="Y32" s="222">
        <f>W32*$C$32</f>
        <v>23538</v>
      </c>
      <c r="Z32" s="222"/>
      <c r="AA32" s="222">
        <f>Y32*$C$32</f>
        <v>23538</v>
      </c>
      <c r="AB32" s="222"/>
      <c r="AC32" s="222">
        <f>AA32*$C$32</f>
        <v>23538</v>
      </c>
      <c r="AD32" s="222"/>
      <c r="AE32" s="222">
        <f>AC32*$C$32</f>
        <v>23538</v>
      </c>
      <c r="AF32" s="222"/>
      <c r="AG32" s="222">
        <f>AE32*$C$32</f>
        <v>23538</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1080605</v>
      </c>
      <c r="G35" s="223">
        <f>SUM(G22:G33)</f>
        <v>1115601.7150000001</v>
      </c>
      <c r="I35" s="223">
        <f>SUM(I22:I33)</f>
        <v>1151812.4274249999</v>
      </c>
      <c r="K35" s="223">
        <f>SUM(K22:K33)</f>
        <v>1189279.3381828747</v>
      </c>
      <c r="M35" s="223">
        <f>SUM(M22:M33)</f>
        <v>1228046.1172957353</v>
      </c>
      <c r="O35" s="223">
        <f>SUM(O22:O33)</f>
        <v>1268157.9550964504</v>
      </c>
      <c r="Q35" s="223">
        <f>SUM(Q22:Q33)</f>
        <v>1309661.6152106735</v>
      </c>
      <c r="S35" s="223">
        <f>SUM(S22:S33)</f>
        <v>1352605.4893866852</v>
      </c>
      <c r="U35" s="223">
        <f>SUM(U22:U33)</f>
        <v>1397039.654237526</v>
      </c>
      <c r="W35" s="223">
        <f>SUM(W22:W33)</f>
        <v>1443015.9299621619</v>
      </c>
      <c r="Y35" s="223">
        <f>SUM(Y22:Y33)</f>
        <v>1490587.9411147428</v>
      </c>
      <c r="AA35" s="223">
        <f>SUM(AA22:AA33)</f>
        <v>1539811.1794934312</v>
      </c>
      <c r="AC35" s="223">
        <f>SUM(AC22:AC33)</f>
        <v>1590743.0692227657</v>
      </c>
      <c r="AE35" s="223">
        <f>SUM(AE22:AE33)</f>
        <v>1643443.0341061256</v>
      </c>
      <c r="AG35" s="223">
        <f>SUM(AG22:AG33)</f>
        <v>1697972.5673275075</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846</v>
      </c>
      <c r="C37" s="224"/>
      <c r="E37" s="223">
        <f>E11-E35</f>
        <v>1838957.8000000003</v>
      </c>
      <c r="G37" s="223">
        <f>G11-G35</f>
        <v>1872654.7427300003</v>
      </c>
      <c r="I37" s="223">
        <f>I11-I35</f>
        <v>1906769.1212328505</v>
      </c>
      <c r="K37" s="223">
        <f>K11-K35</f>
        <v>1941297.8022657128</v>
      </c>
      <c r="M37" s="223">
        <f>M11-M35</f>
        <v>1976237.1257998447</v>
      </c>
      <c r="O37" s="223">
        <f>O11-O35</f>
        <v>2011582.8766950124</v>
      </c>
      <c r="Q37" s="223">
        <f>Q11-Q35</f>
        <v>2047330.255146439</v>
      </c>
      <c r="S37" s="223">
        <f>S11-S35</f>
        <v>2083473.8458556356</v>
      </c>
      <c r="U37" s="223">
        <f>U11-U35</f>
        <v>2120007.5858746585</v>
      </c>
      <c r="W37" s="223">
        <f>W11-W35</f>
        <v>2156924.7310714093</v>
      </c>
      <c r="Y37" s="223">
        <f>Y11-Y35</f>
        <v>2194217.8211616213</v>
      </c>
      <c r="AA37" s="223">
        <f>AA11-AA35</f>
        <v>2231878.643251135</v>
      </c>
      <c r="AC37" s="223">
        <f>AC11-AC35</f>
        <v>2269898.1938299341</v>
      </c>
      <c r="AE37" s="223">
        <f>AE11-AE35</f>
        <v>2308266.6391571998</v>
      </c>
      <c r="AG37" s="223">
        <f>AG11-AG35</f>
        <v>2346973.2739743963</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 Community Capital</v>
      </c>
      <c r="B40" s="226"/>
      <c r="C40" s="220"/>
      <c r="E40" s="222">
        <f>Application!AF627</f>
        <v>1486606.7612407445</v>
      </c>
      <c r="F40" s="222"/>
      <c r="G40" s="222">
        <f>$E$40</f>
        <v>1486606.7612407445</v>
      </c>
      <c r="H40" s="222"/>
      <c r="I40" s="222">
        <f>$E$40</f>
        <v>1486606.7612407445</v>
      </c>
      <c r="J40" s="222"/>
      <c r="K40" s="222">
        <f>$E$40</f>
        <v>1486606.7612407445</v>
      </c>
      <c r="L40" s="222"/>
      <c r="M40" s="222">
        <f>$E$40</f>
        <v>1486606.7612407445</v>
      </c>
      <c r="N40" s="222"/>
      <c r="O40" s="222">
        <f>$E$40</f>
        <v>1486606.7612407445</v>
      </c>
      <c r="P40" s="222"/>
      <c r="Q40" s="222">
        <f>$E$40</f>
        <v>1486606.7612407445</v>
      </c>
      <c r="R40" s="222"/>
      <c r="S40" s="222">
        <f>$E$40</f>
        <v>1486606.7612407445</v>
      </c>
      <c r="T40" s="222"/>
      <c r="U40" s="222">
        <f>$E$40</f>
        <v>1486606.7612407445</v>
      </c>
      <c r="V40" s="222"/>
      <c r="W40" s="222">
        <f>$E$40</f>
        <v>1486606.7612407445</v>
      </c>
      <c r="X40" s="222"/>
      <c r="Y40" s="222">
        <f>$E$40</f>
        <v>1486606.7612407445</v>
      </c>
      <c r="Z40" s="222"/>
      <c r="AA40" s="222">
        <f>$E$40</f>
        <v>1486606.7612407445</v>
      </c>
      <c r="AB40" s="222"/>
      <c r="AC40" s="222">
        <f>$E$40</f>
        <v>1486606.7612407445</v>
      </c>
      <c r="AD40" s="222"/>
      <c r="AE40" s="222">
        <f>$E$40</f>
        <v>1486606.7612407445</v>
      </c>
      <c r="AF40" s="222"/>
      <c r="AG40" s="222">
        <f>$E$40</f>
        <v>1486606.7612407445</v>
      </c>
    </row>
    <row r="41" spans="1:33" s="210" customFormat="1" ht="13.8">
      <c r="A41" s="225" t="str">
        <f>Application!C628</f>
        <v>HCD-CDBG-DR MHP</v>
      </c>
      <c r="B41" s="226"/>
      <c r="C41" s="220"/>
      <c r="E41" s="222">
        <f>Application!AF628</f>
        <v>112477.81019999999</v>
      </c>
      <c r="F41" s="222"/>
      <c r="G41" s="222">
        <f>$E$41</f>
        <v>112477.81019999999</v>
      </c>
      <c r="H41" s="222"/>
      <c r="I41" s="222">
        <f>$E$41</f>
        <v>112477.81019999999</v>
      </c>
      <c r="J41" s="222"/>
      <c r="K41" s="222">
        <f>$E$41</f>
        <v>112477.81019999999</v>
      </c>
      <c r="L41" s="222"/>
      <c r="M41" s="222">
        <f>$E$41</f>
        <v>112477.81019999999</v>
      </c>
      <c r="N41" s="222"/>
      <c r="O41" s="222">
        <f>$E$41</f>
        <v>112477.81019999999</v>
      </c>
      <c r="P41" s="222"/>
      <c r="Q41" s="222">
        <f>$E$41</f>
        <v>112477.81019999999</v>
      </c>
      <c r="R41" s="222"/>
      <c r="S41" s="222">
        <f>$E$41</f>
        <v>112477.81019999999</v>
      </c>
      <c r="T41" s="222"/>
      <c r="U41" s="222">
        <f>$E$41</f>
        <v>112477.81019999999</v>
      </c>
      <c r="V41" s="222"/>
      <c r="W41" s="222">
        <f>$E$41</f>
        <v>112477.81019999999</v>
      </c>
      <c r="X41" s="222"/>
      <c r="Y41" s="222">
        <f>$E$41</f>
        <v>112477.81019999999</v>
      </c>
      <c r="Z41" s="222"/>
      <c r="AA41" s="222">
        <f>$E$41</f>
        <v>112477.81019999999</v>
      </c>
      <c r="AB41" s="222"/>
      <c r="AC41" s="222">
        <f>$E$41</f>
        <v>112477.81019999999</v>
      </c>
      <c r="AD41" s="222"/>
      <c r="AE41" s="222">
        <f>$E$41</f>
        <v>112477.81019999999</v>
      </c>
      <c r="AF41" s="222"/>
      <c r="AG41" s="222">
        <f>$E$41</f>
        <v>112477.81019999999</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847</v>
      </c>
      <c r="C43" s="224"/>
      <c r="E43" s="223">
        <f>SUM(E40:E42)</f>
        <v>1599084.5714407444</v>
      </c>
      <c r="G43" s="223">
        <f>SUM(G40:G42)</f>
        <v>1599084.5714407444</v>
      </c>
      <c r="I43" s="223">
        <f>SUM(I40:I42)</f>
        <v>1599084.5714407444</v>
      </c>
      <c r="K43" s="223">
        <f>SUM(K40:K42)</f>
        <v>1599084.5714407444</v>
      </c>
      <c r="M43" s="223">
        <f>SUM(M40:M42)</f>
        <v>1599084.5714407444</v>
      </c>
      <c r="O43" s="223">
        <f>SUM(O40:O42)</f>
        <v>1599084.5714407444</v>
      </c>
      <c r="Q43" s="223">
        <f>SUM(Q40:Q42)</f>
        <v>1599084.5714407444</v>
      </c>
      <c r="S43" s="223">
        <f>SUM(S40:S42)</f>
        <v>1599084.5714407444</v>
      </c>
      <c r="U43" s="223">
        <f>SUM(U40:U42)</f>
        <v>1599084.5714407444</v>
      </c>
      <c r="W43" s="223">
        <f>SUM(W40:W42)</f>
        <v>1599084.5714407444</v>
      </c>
      <c r="Y43" s="223">
        <f>SUM(Y40:Y42)</f>
        <v>1599084.5714407444</v>
      </c>
      <c r="AA43" s="223">
        <f>SUM(AA40:AA42)</f>
        <v>1599084.5714407444</v>
      </c>
      <c r="AC43" s="223">
        <f>SUM(AC40:AC42)</f>
        <v>1599084.5714407444</v>
      </c>
      <c r="AE43" s="223">
        <f>SUM(AE40:AE42)</f>
        <v>1599084.5714407444</v>
      </c>
      <c r="AG43" s="223">
        <f>SUM(AG40:AG42)</f>
        <v>1599084.5714407444</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848</v>
      </c>
      <c r="C45" s="224"/>
      <c r="E45" s="223">
        <f>E37-E43</f>
        <v>239873.22855925583</v>
      </c>
      <c r="G45" s="223">
        <f>G37-G43</f>
        <v>273570.17128925584</v>
      </c>
      <c r="I45" s="223">
        <f>I37-I43</f>
        <v>307684.54979210603</v>
      </c>
      <c r="K45" s="223">
        <f>K37-K43</f>
        <v>342213.23082496831</v>
      </c>
      <c r="M45" s="223">
        <f>M37-M43</f>
        <v>377152.55435910029</v>
      </c>
      <c r="O45" s="223">
        <f>O37-O43</f>
        <v>412498.30525426799</v>
      </c>
      <c r="Q45" s="223">
        <f>Q37-Q43</f>
        <v>448245.68370569451</v>
      </c>
      <c r="S45" s="223">
        <f>S37-S43</f>
        <v>484389.27441489114</v>
      </c>
      <c r="U45" s="223">
        <f>U37-U43</f>
        <v>520923.0144339141</v>
      </c>
      <c r="W45" s="223">
        <f>W37-W43</f>
        <v>557840.15963066486</v>
      </c>
      <c r="Y45" s="223">
        <f>Y37-Y43</f>
        <v>595133.2497208768</v>
      </c>
      <c r="AA45" s="223">
        <f>AA37-AA43</f>
        <v>632794.07181039057</v>
      </c>
      <c r="AC45" s="223">
        <f>AC37-AC43</f>
        <v>670813.62238918967</v>
      </c>
      <c r="AE45" s="223">
        <f>AE37-AE43</f>
        <v>709182.06771645532</v>
      </c>
      <c r="AG45" s="223">
        <f>AG37-AG43</f>
        <v>747888.70253365184</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850</v>
      </c>
      <c r="C47" s="220"/>
      <c r="E47" s="227">
        <f>E45/(E4+E6+E8)</f>
        <v>7.8052634158543549E-2</v>
      </c>
      <c r="G47" s="227">
        <f>G45/(G4+G6+G8)</f>
        <v>8.6971003460063534E-2</v>
      </c>
      <c r="I47" s="227">
        <f>I45/(I4+I6+I8)</f>
        <v>9.5567280993624756E-2</v>
      </c>
      <c r="K47" s="227">
        <f>K45/(K4+K6+K8)</f>
        <v>0.1038474871240947</v>
      </c>
      <c r="M47" s="227">
        <f>M45/(M4+M6+M8)</f>
        <v>0.11181749535194188</v>
      </c>
      <c r="O47" s="227">
        <f>O45/(O4+O6+O8)</f>
        <v>0.11948303542554768</v>
      </c>
      <c r="Q47" s="227">
        <f>Q45/(Q4+Q6+Q8)</f>
        <v>0.1268496963846118</v>
      </c>
      <c r="S47" s="227">
        <f>S45/(S4+S6+S8)</f>
        <v>0.13392292953611162</v>
      </c>
      <c r="U47" s="227">
        <f>U45/(U4+U6+U8)</f>
        <v>0.14070805136425552</v>
      </c>
      <c r="W47" s="227">
        <f>W45/(W4+W6+W8)</f>
        <v>0.1472102463758331</v>
      </c>
      <c r="Y47" s="227">
        <f>Y45/(Y4+Y6+Y8)</f>
        <v>0.15343456988233756</v>
      </c>
      <c r="AA47" s="227">
        <f>AA45/(AA4+AA6+AA8)</f>
        <v>0.15938595072020684</v>
      </c>
      <c r="AC47" s="227">
        <f>AC45/(AC4+AC6+AC8)</f>
        <v>0.1650691939105017</v>
      </c>
      <c r="AE47" s="227">
        <f>AE45/(AE4+AE6+AE8)</f>
        <v>0.17048898325930698</v>
      </c>
      <c r="AG47" s="227">
        <f>AG45/(AG4+AG6+AG8)</f>
        <v>0.17564988390012412</v>
      </c>
    </row>
    <row r="48" spans="1:33" s="227" customFormat="1" ht="13.8">
      <c r="A48" s="227" t="s">
        <v>851</v>
      </c>
      <c r="C48" s="220"/>
      <c r="E48" s="227">
        <f>E45/E43</f>
        <v>0.15000659304913103</v>
      </c>
      <c r="G48" s="227">
        <f>G45/G43</f>
        <v>0.17107923881897902</v>
      </c>
      <c r="I48" s="227">
        <f>I45/I43</f>
        <v>0.19241293130286921</v>
      </c>
      <c r="K48" s="227">
        <f>K45/K43</f>
        <v>0.21400571110297234</v>
      </c>
      <c r="M48" s="227">
        <f>M45/M43</f>
        <v>0.23585528939178813</v>
      </c>
      <c r="O48" s="227">
        <f>O45/O43</f>
        <v>0.25795903019851851</v>
      </c>
      <c r="Q48" s="227">
        <f>Q45/Q43</f>
        <v>0.28031393192783655</v>
      </c>
      <c r="S48" s="227">
        <f>S45/S43</f>
        <v>0.30291660808062559</v>
      </c>
      <c r="U48" s="227">
        <f>U45/U43</f>
        <v>0.32576326714513448</v>
      </c>
      <c r="W48" s="227">
        <f>W45/W43</f>
        <v>0.3488496916257916</v>
      </c>
      <c r="Y48" s="227">
        <f>Y45/Y43</f>
        <v>0.37217121617568555</v>
      </c>
      <c r="AA48" s="227">
        <f>AA45/AA43</f>
        <v>0.39572270479744248</v>
      </c>
      <c r="AC48" s="227">
        <f>AC45/AC43</f>
        <v>0.41949852707590035</v>
      </c>
      <c r="AE48" s="227">
        <f>AE45/AE43</f>
        <v>0.44349253340459405</v>
      </c>
      <c r="AG48" s="227">
        <f>AG45/AG43</f>
        <v>0.46769802916666159</v>
      </c>
    </row>
    <row r="49" spans="1:34" s="228" customFormat="1" ht="13.8">
      <c r="A49" s="228" t="s">
        <v>849</v>
      </c>
      <c r="C49" s="229"/>
      <c r="E49" s="228">
        <f>E37/E43</f>
        <v>1.150006593049131</v>
      </c>
      <c r="G49" s="228">
        <f>G37/G43</f>
        <v>1.171079238818979</v>
      </c>
      <c r="I49" s="228">
        <f>I37/I43</f>
        <v>1.1924129313028693</v>
      </c>
      <c r="K49" s="228">
        <f>K37/K43</f>
        <v>1.2140057111029723</v>
      </c>
      <c r="M49" s="228">
        <f>M37/M43</f>
        <v>1.2358552893917882</v>
      </c>
      <c r="O49" s="228">
        <f>O37/O43</f>
        <v>1.2579590301985184</v>
      </c>
      <c r="Q49" s="228">
        <f>Q37/Q43</f>
        <v>1.2803139319278365</v>
      </c>
      <c r="S49" s="228">
        <f>S37/S43</f>
        <v>1.3029166080806256</v>
      </c>
      <c r="U49" s="228">
        <f>U37/U43</f>
        <v>1.3257632671451345</v>
      </c>
      <c r="W49" s="228">
        <f>W37/W43</f>
        <v>1.3488496916257917</v>
      </c>
      <c r="Y49" s="228">
        <f>Y37/Y43</f>
        <v>1.3721712161756856</v>
      </c>
      <c r="AA49" s="228">
        <f>AA37/AA43</f>
        <v>1.3957227047974425</v>
      </c>
      <c r="AC49" s="228">
        <f>AC37/AC43</f>
        <v>1.4194985270759004</v>
      </c>
      <c r="AE49" s="228">
        <f>AE37/AE43</f>
        <v>1.443492533404594</v>
      </c>
      <c r="AG49" s="228">
        <f>AG37/AG43</f>
        <v>1.4676980291666615</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2718</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1.03</v>
      </c>
      <c r="E53" s="964">
        <v>15000</v>
      </c>
      <c r="G53" s="960">
        <f>E53*$C$53</f>
        <v>15450</v>
      </c>
      <c r="I53" s="960">
        <f>G53*$C$53</f>
        <v>15913.5</v>
      </c>
      <c r="K53" s="960">
        <f>I53*$C$53</f>
        <v>16390.904999999999</v>
      </c>
      <c r="M53" s="960">
        <f>K53*$C$53</f>
        <v>16882.632149999998</v>
      </c>
      <c r="O53" s="960">
        <f>M53*$C$53</f>
        <v>17389.1111145</v>
      </c>
      <c r="Q53" s="960">
        <f>O53*$C$53</f>
        <v>17910.784447934999</v>
      </c>
      <c r="S53" s="960">
        <f>Q53*$C$53</f>
        <v>18448.10798137305</v>
      </c>
      <c r="U53" s="960">
        <f>S53*$C$53</f>
        <v>19001.551220814243</v>
      </c>
      <c r="W53" s="960">
        <f>U53*$C$53</f>
        <v>19571.597757438671</v>
      </c>
      <c r="Y53" s="960">
        <f>W53*$C$53</f>
        <v>20158.745690161832</v>
      </c>
      <c r="AA53" s="960">
        <f>Y53*$C$53</f>
        <v>20763.508060866687</v>
      </c>
      <c r="AC53" s="960">
        <f>AA53*$C$53</f>
        <v>21386.413302692687</v>
      </c>
      <c r="AE53" s="960">
        <f>AC53*$C$53</f>
        <v>22028.005701773469</v>
      </c>
      <c r="AG53" s="960">
        <f>AE53*$C$53</f>
        <v>22688.845872826674</v>
      </c>
    </row>
    <row r="54" spans="1:34" s="3" customFormat="1">
      <c r="A54" s="3" t="s">
        <v>854</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20000</v>
      </c>
      <c r="F58" s="960"/>
      <c r="G58" s="960">
        <f>SUM(G53:G57)</f>
        <v>20600</v>
      </c>
      <c r="H58" s="960"/>
      <c r="I58" s="960">
        <f>SUM(I53:I57)</f>
        <v>21218</v>
      </c>
      <c r="J58" s="960"/>
      <c r="K58" s="960">
        <f>SUM(K53:K57)</f>
        <v>21854.54</v>
      </c>
      <c r="L58" s="960"/>
      <c r="M58" s="960">
        <f>SUM(M53:M57)</f>
        <v>22510.176199999998</v>
      </c>
      <c r="N58" s="960"/>
      <c r="O58" s="960">
        <f>SUM(O53:O57)</f>
        <v>23185.481486000001</v>
      </c>
      <c r="P58" s="960"/>
      <c r="Q58" s="960">
        <f>SUM(Q53:Q57)</f>
        <v>23881.04593058</v>
      </c>
      <c r="R58" s="960"/>
      <c r="S58" s="960">
        <f>SUM(S53:S57)</f>
        <v>24597.4773084974</v>
      </c>
      <c r="T58" s="960"/>
      <c r="U58" s="960">
        <f>SUM(U53:U57)</f>
        <v>25335.401627752322</v>
      </c>
      <c r="V58" s="960"/>
      <c r="W58" s="960">
        <f>SUM(W53:W57)</f>
        <v>26095.463676584892</v>
      </c>
      <c r="X58" s="960"/>
      <c r="Y58" s="960">
        <f>SUM(Y53:Y57)</f>
        <v>26878.327586882442</v>
      </c>
      <c r="Z58" s="960"/>
      <c r="AA58" s="960">
        <f>SUM(AA53:AA57)</f>
        <v>27684.677414488913</v>
      </c>
      <c r="AB58" s="960"/>
      <c r="AC58" s="960">
        <f>SUM(AC53:AC57)</f>
        <v>28515.21773692358</v>
      </c>
      <c r="AD58" s="960"/>
      <c r="AE58" s="960">
        <f>SUM(AE53:AE57)</f>
        <v>29370.674269031289</v>
      </c>
      <c r="AF58" s="960"/>
      <c r="AG58" s="960">
        <f>SUM(AG53:AG57)</f>
        <v>30251.79449710223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219873.22855925583</v>
      </c>
      <c r="G60" s="962">
        <f>G45-G58</f>
        <v>252970.17128925584</v>
      </c>
      <c r="I60" s="962">
        <f>I45-I58</f>
        <v>286466.54979210603</v>
      </c>
      <c r="K60" s="962">
        <f>K45-K58</f>
        <v>320358.69082496833</v>
      </c>
      <c r="M60" s="962">
        <f>M45-M58</f>
        <v>354642.37815910031</v>
      </c>
      <c r="O60" s="962">
        <f>O45-O58</f>
        <v>389312.82376826799</v>
      </c>
      <c r="Q60" s="962">
        <f>Q45-Q58</f>
        <v>424364.6377751145</v>
      </c>
      <c r="S60" s="962">
        <f>S45-S58</f>
        <v>459791.79710639373</v>
      </c>
      <c r="U60" s="962">
        <f>U45-U58</f>
        <v>495587.61280616175</v>
      </c>
      <c r="W60" s="962">
        <f>W45-W58</f>
        <v>531744.69595407997</v>
      </c>
      <c r="Y60" s="962">
        <f>Y45-Y58</f>
        <v>568254.92213399441</v>
      </c>
      <c r="AA60" s="962">
        <f>AA45-AA58</f>
        <v>605109.39439590171</v>
      </c>
      <c r="AC60" s="962">
        <f>AC45-AC58</f>
        <v>642298.40465226606</v>
      </c>
      <c r="AE60" s="962">
        <f>AE45-AE58</f>
        <v>679811.39344742405</v>
      </c>
      <c r="AG60" s="962">
        <f>AG45-AG58</f>
        <v>717636.90803654958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2" t="s">
        <v>2718</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219873.22855925583</v>
      </c>
      <c r="G72" s="962">
        <f>G60-G62-G70</f>
        <v>252970.17128925584</v>
      </c>
      <c r="I72" s="962">
        <f>I60-I62-I70</f>
        <v>286466.54979210603</v>
      </c>
      <c r="K72" s="962">
        <f>K60-K62-K70</f>
        <v>320358.69082496833</v>
      </c>
      <c r="M72" s="962">
        <f>M60-M62-M70</f>
        <v>354642.37815910031</v>
      </c>
      <c r="O72" s="962">
        <f>O60-O62-O70</f>
        <v>389312.82376826799</v>
      </c>
      <c r="Q72" s="962">
        <f>Q60-Q62-Q70</f>
        <v>424364.6377751145</v>
      </c>
      <c r="S72" s="962">
        <f>S60-S62-S70</f>
        <v>459791.79710639373</v>
      </c>
      <c r="U72" s="962">
        <f>U60-U62-U70</f>
        <v>495587.61280616175</v>
      </c>
      <c r="W72" s="962">
        <f>W60-W62-W70</f>
        <v>531744.69595407997</v>
      </c>
      <c r="Y72" s="962">
        <f>Y60-Y62-Y70</f>
        <v>568254.92213399441</v>
      </c>
      <c r="AA72" s="962">
        <f>AA60-AA62-AA70</f>
        <v>605109.39439590171</v>
      </c>
      <c r="AC72" s="962">
        <f>AC60-AC62-AC70</f>
        <v>642298.40465226606</v>
      </c>
      <c r="AE72" s="962">
        <f>AE60-AE62-AE70</f>
        <v>679811.39344742405</v>
      </c>
      <c r="AG72" s="962">
        <f>AG60-AG62-AG70</f>
        <v>717636.90803654958</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0" t="s">
        <v>1720</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970</v>
      </c>
    </row>
    <row r="2" spans="1:1" ht="15.6">
      <c r="A2" s="314"/>
    </row>
    <row r="3" spans="1:1" ht="15.6">
      <c r="A3" s="315" t="s">
        <v>965</v>
      </c>
    </row>
    <row r="4" spans="1:1" ht="15.6">
      <c r="A4" s="315" t="s">
        <v>966</v>
      </c>
    </row>
    <row r="5" spans="1:1" ht="15.6">
      <c r="A5" s="315" t="s">
        <v>967</v>
      </c>
    </row>
    <row r="6" spans="1:1" ht="15.6">
      <c r="A6" s="315" t="s">
        <v>969</v>
      </c>
    </row>
    <row r="7" spans="1:1" ht="15.6">
      <c r="A7" s="315" t="s">
        <v>968</v>
      </c>
    </row>
    <row r="8" spans="1:1" ht="15.6">
      <c r="A8" s="346" t="s">
        <v>1023</v>
      </c>
    </row>
    <row r="9" spans="1:1" ht="15.6">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7400000</v>
      </c>
      <c r="C5" s="266">
        <f>'Sources and Uses Budget'!$C4</f>
        <v>7400000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7400000</v>
      </c>
      <c r="C9" s="270">
        <f>SUM(C5:C8)</f>
        <v>7400000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7400000</v>
      </c>
      <c r="C13" s="270">
        <f>SUM(C9+C12)</f>
        <v>7400000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2.8">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4261306</v>
      </c>
      <c r="C30" s="266">
        <f>'Sources and Uses Budget'!$C29</f>
        <v>4261306</v>
      </c>
      <c r="D30" s="270">
        <f t="shared" si="0"/>
        <v>0</v>
      </c>
      <c r="E30" s="268"/>
      <c r="F30" s="267"/>
    </row>
    <row r="31" spans="1:6" s="352" customFormat="1">
      <c r="A31" s="145" t="s">
        <v>598</v>
      </c>
      <c r="B31" s="266">
        <f>'Sources and Uses Budget'!$C30</f>
        <v>43198917</v>
      </c>
      <c r="C31" s="266">
        <f>'Sources and Uses Budget'!$C30</f>
        <v>43198917</v>
      </c>
      <c r="D31" s="270">
        <f t="shared" si="0"/>
        <v>0</v>
      </c>
      <c r="E31" s="268"/>
      <c r="F31" s="267"/>
    </row>
    <row r="32" spans="1:6" s="352" customFormat="1">
      <c r="A32" s="145" t="s">
        <v>599</v>
      </c>
      <c r="B32" s="266">
        <f>'Sources and Uses Budget'!$C31</f>
        <v>3640443</v>
      </c>
      <c r="C32" s="266">
        <f>'Sources and Uses Budget'!$C31</f>
        <v>3640443</v>
      </c>
      <c r="D32" s="270">
        <f t="shared" si="0"/>
        <v>0</v>
      </c>
      <c r="E32" s="268"/>
      <c r="F32" s="267"/>
    </row>
    <row r="33" spans="1:6" s="352" customFormat="1">
      <c r="A33" s="145" t="s">
        <v>137</v>
      </c>
      <c r="B33" s="266">
        <f>'Sources and Uses Budget'!$C32</f>
        <v>930123</v>
      </c>
      <c r="C33" s="266">
        <f>'Sources and Uses Budget'!$C32</f>
        <v>930123</v>
      </c>
      <c r="D33" s="270">
        <f t="shared" si="0"/>
        <v>0</v>
      </c>
      <c r="E33" s="268"/>
      <c r="F33" s="267"/>
    </row>
    <row r="34" spans="1:6" s="352" customFormat="1">
      <c r="A34" s="145" t="s">
        <v>138</v>
      </c>
      <c r="B34" s="266">
        <f>'Sources and Uses Budget'!$C33</f>
        <v>930123</v>
      </c>
      <c r="C34" s="266">
        <f>'Sources and Uses Budget'!$C33</f>
        <v>930123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1123647</v>
      </c>
      <c r="C36" s="266">
        <f>'Sources and Uses Budget'!$C35</f>
        <v>1123647</v>
      </c>
      <c r="D36" s="270">
        <f t="shared" si="0"/>
        <v>0</v>
      </c>
      <c r="E36" s="268"/>
      <c r="F36" s="267"/>
    </row>
    <row r="37" spans="1:6" s="352" customFormat="1">
      <c r="A37" s="283" t="s">
        <v>1639</v>
      </c>
      <c r="B37" s="266">
        <f>'Sources and Uses Budget'!$C36</f>
        <v>300000</v>
      </c>
      <c r="C37" s="266">
        <f>'Sources and Uses Budget'!$C36</f>
        <v>300000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54384559</v>
      </c>
      <c r="C39" s="270">
        <f>SUM(C30:C38)</f>
        <v>54384559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766889</v>
      </c>
      <c r="C41" s="266">
        <f>'Sources and Uses Budget'!$C40</f>
        <v>766889</v>
      </c>
      <c r="D41" s="270">
        <f t="shared" si="0"/>
        <v>0</v>
      </c>
      <c r="E41" s="268"/>
      <c r="F41" s="267"/>
    </row>
    <row r="42" spans="1:6" s="352" customFormat="1">
      <c r="A42" s="269" t="s">
        <v>146</v>
      </c>
      <c r="B42" s="266">
        <f>'Sources and Uses Budget'!$C41</f>
        <v>766889</v>
      </c>
      <c r="C42" s="266">
        <f>'Sources and Uses Budget'!$C41</f>
        <v>766889</v>
      </c>
      <c r="D42" s="270">
        <f t="shared" si="0"/>
        <v>0</v>
      </c>
      <c r="E42" s="268"/>
      <c r="F42" s="267"/>
    </row>
    <row r="43" spans="1:6" s="352" customFormat="1">
      <c r="A43" s="271" t="s">
        <v>147</v>
      </c>
      <c r="B43" s="270">
        <f>SUM(B41:B42)</f>
        <v>1533778</v>
      </c>
      <c r="C43" s="270">
        <f>SUM(C41:C42)</f>
        <v>1533778</v>
      </c>
      <c r="D43" s="270">
        <f t="shared" si="0"/>
        <v>0</v>
      </c>
      <c r="E43" s="268"/>
      <c r="F43" s="267"/>
    </row>
    <row r="44" spans="1:6" s="352" customFormat="1">
      <c r="A44" s="271" t="s">
        <v>148</v>
      </c>
      <c r="B44" s="266">
        <f>'Sources and Uses Budget'!$C43</f>
        <v>400000</v>
      </c>
      <c r="C44" s="266">
        <f>'Sources and Uses Budget'!$C43</f>
        <v>400000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6716105</v>
      </c>
      <c r="C46" s="266">
        <f>'Sources and Uses Budget'!$C45</f>
        <v>6716105</v>
      </c>
      <c r="D46" s="270">
        <f t="shared" si="0"/>
        <v>0</v>
      </c>
      <c r="E46" s="268"/>
      <c r="F46" s="267"/>
    </row>
    <row r="47" spans="1:6" s="352" customFormat="1">
      <c r="A47" s="145" t="s">
        <v>151</v>
      </c>
      <c r="B47" s="266">
        <f>'Sources and Uses Budget'!$C46</f>
        <v>602271</v>
      </c>
      <c r="C47" s="266">
        <f>'Sources and Uses Budget'!$C46</f>
        <v>602271</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512256</v>
      </c>
      <c r="C49" s="266">
        <f>'Sources and Uses Budget'!$C48</f>
        <v>512256</v>
      </c>
      <c r="D49" s="270">
        <f t="shared" si="0"/>
        <v>0</v>
      </c>
      <c r="E49" s="268"/>
      <c r="F49" s="267"/>
    </row>
    <row r="50" spans="1:6" s="352" customFormat="1">
      <c r="A50" s="145" t="s">
        <v>57</v>
      </c>
      <c r="B50" s="266">
        <f>'Sources and Uses Budget'!$C49</f>
        <v>321300</v>
      </c>
      <c r="C50" s="266">
        <f>'Sources and Uses Budget'!$C49</f>
        <v>321300</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175208</v>
      </c>
      <c r="C52" s="266">
        <f>'Sources and Uses Budget'!$C51</f>
        <v>175208</v>
      </c>
      <c r="D52" s="270">
        <f t="shared" si="0"/>
        <v>0</v>
      </c>
      <c r="E52" s="268"/>
      <c r="F52" s="267"/>
    </row>
    <row r="53" spans="1:6" s="352" customFormat="1">
      <c r="A53" s="145" t="s">
        <v>155</v>
      </c>
      <c r="B53" s="266">
        <f>'Sources and Uses Budget'!$C52</f>
        <v>2186401</v>
      </c>
      <c r="C53" s="266">
        <f>'Sources and Uses Budget'!$C52</f>
        <v>2186401</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10573541</v>
      </c>
      <c r="C55" s="273">
        <f>SUM(C46:C54)</f>
        <v>10573541</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308298</v>
      </c>
      <c r="C57" s="266">
        <f>'Sources and Uses Budget'!$C56</f>
        <v>308298</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40000</v>
      </c>
      <c r="C59" s="266">
        <f>'Sources and Uses Budget'!$C58</f>
        <v>40000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300</v>
      </c>
      <c r="B63" s="270">
        <f>SUM(B57:B62)</f>
        <v>348298</v>
      </c>
      <c r="C63" s="270">
        <f>SUM(C57:C62)</f>
        <v>348298</v>
      </c>
      <c r="D63" s="270">
        <f t="shared" si="0"/>
        <v>0</v>
      </c>
      <c r="E63" s="268"/>
      <c r="F63" s="267"/>
    </row>
    <row r="64" spans="1:6" s="352" customFormat="1">
      <c r="A64" s="274" t="s">
        <v>301</v>
      </c>
      <c r="B64" s="270">
        <f>SUM(B9+B12+B14+B15+B17+B26+B28+B39+B43+B44+B55+B63)</f>
        <v>74640176</v>
      </c>
      <c r="C64" s="270">
        <f>SUM(C9+C12+C14+C15+C17+C26+C28+C39+C43+C44+C55+C63)</f>
        <v>74640176</v>
      </c>
      <c r="D64" s="270">
        <f t="shared" si="0"/>
        <v>0</v>
      </c>
      <c r="E64" s="268"/>
      <c r="F64" s="267"/>
    </row>
    <row r="65" spans="1:6" s="352" customFormat="1" ht="22.8">
      <c r="A65" s="141" t="s">
        <v>1643</v>
      </c>
      <c r="B65" s="264"/>
      <c r="C65" s="264"/>
      <c r="D65" s="264"/>
      <c r="E65" s="282"/>
      <c r="F65" s="264"/>
    </row>
    <row r="66" spans="1:6" s="352" customFormat="1">
      <c r="A66" s="145" t="s">
        <v>170</v>
      </c>
      <c r="B66" s="266">
        <f>'Sources and Uses Budget'!$C65</f>
        <v>360000</v>
      </c>
      <c r="C66" s="266">
        <f>'Sources and Uses Budget'!$C65</f>
        <v>360000</v>
      </c>
      <c r="D66" s="270">
        <f t="shared" si="0"/>
        <v>0</v>
      </c>
      <c r="E66" s="268"/>
      <c r="F66" s="267"/>
    </row>
    <row r="67" spans="1:6" s="352" customFormat="1" ht="22.8">
      <c r="A67" s="283" t="s">
        <v>1640</v>
      </c>
      <c r="B67" s="266">
        <f>'Sources and Uses Budget'!$C66</f>
        <v>300000</v>
      </c>
      <c r="C67" s="266">
        <f>'Sources and Uses Budget'!$C66</f>
        <v>300000</v>
      </c>
      <c r="D67" s="270"/>
      <c r="E67" s="268"/>
      <c r="F67" s="267"/>
    </row>
    <row r="68" spans="1:6" s="352" customFormat="1" ht="22.8">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1644</v>
      </c>
      <c r="B71" s="270">
        <f>SUM(B66:B70)</f>
        <v>660000</v>
      </c>
      <c r="C71" s="270">
        <f>SUM(C66:C70)</f>
        <v>660000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200000</v>
      </c>
      <c r="C74" s="266">
        <f>'Sources and Uses Budget'!$C73</f>
        <v>200000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669923</v>
      </c>
      <c r="C76" s="266">
        <f>'Sources and Uses Budget'!$C75</f>
        <v>669923</v>
      </c>
      <c r="D76" s="270">
        <f t="shared" si="0"/>
        <v>0</v>
      </c>
      <c r="E76" s="268"/>
      <c r="F76" s="267"/>
    </row>
    <row r="77" spans="1:6" s="352" customFormat="1">
      <c r="A77" s="272" t="s">
        <v>34</v>
      </c>
      <c r="B77" s="266">
        <f>'Sources and Uses Budget'!$C76</f>
        <v>242570</v>
      </c>
      <c r="C77" s="266">
        <f>'Sources and Uses Budget'!$C76</f>
        <v>242570</v>
      </c>
      <c r="D77" s="270">
        <f t="shared" si="0"/>
        <v>0</v>
      </c>
      <c r="E77" s="268"/>
      <c r="F77" s="267"/>
    </row>
    <row r="78" spans="1:6" s="352" customFormat="1">
      <c r="A78" s="271" t="s">
        <v>605</v>
      </c>
      <c r="B78" s="270">
        <f>SUM(B73:B77)</f>
        <v>1112493</v>
      </c>
      <c r="C78" s="270">
        <f>SUM(C73:C77)</f>
        <v>1112493</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4253970</v>
      </c>
      <c r="C80" s="266">
        <f>'Sources and Uses Budget'!$C79</f>
        <v>4253970</v>
      </c>
      <c r="D80" s="270">
        <f t="shared" si="1"/>
        <v>0</v>
      </c>
      <c r="E80" s="268"/>
      <c r="F80" s="267"/>
    </row>
    <row r="81" spans="1:6" s="352" customFormat="1">
      <c r="A81" s="510" t="s">
        <v>58</v>
      </c>
      <c r="B81" s="266">
        <f>'Sources and Uses Budget'!$C80</f>
        <v>754352</v>
      </c>
      <c r="C81" s="266">
        <f>'Sources and Uses Budget'!$C80</f>
        <v>754352</v>
      </c>
      <c r="D81" s="270">
        <f>C81-B81</f>
        <v>0</v>
      </c>
      <c r="E81" s="268"/>
      <c r="F81" s="267"/>
    </row>
    <row r="82" spans="1:6" s="352" customFormat="1">
      <c r="A82" s="271" t="s">
        <v>1208</v>
      </c>
      <c r="B82" s="270">
        <f>SUM(B80:B81)</f>
        <v>5008322</v>
      </c>
      <c r="C82" s="270">
        <f>SUM(C80:C81)</f>
        <v>5008322</v>
      </c>
      <c r="D82" s="270">
        <f t="shared" si="1"/>
        <v>0</v>
      </c>
      <c r="E82" s="268"/>
      <c r="F82" s="267"/>
    </row>
    <row r="83" spans="1:6" s="352" customFormat="1">
      <c r="A83" s="264" t="s">
        <v>764</v>
      </c>
      <c r="B83" s="264"/>
      <c r="C83" s="264"/>
      <c r="D83" s="264"/>
      <c r="E83" s="282"/>
      <c r="F83" s="264"/>
    </row>
    <row r="84" spans="1:6" s="352" customFormat="1" ht="13.65" customHeight="1">
      <c r="A84" s="269" t="s">
        <v>765</v>
      </c>
      <c r="B84" s="266">
        <f>'Sources and Uses Budget'!$C83</f>
        <v>122591</v>
      </c>
      <c r="C84" s="266">
        <f>'Sources and Uses Budget'!$C83</f>
        <v>122591</v>
      </c>
      <c r="D84" s="270">
        <f t="shared" si="1"/>
        <v>0</v>
      </c>
      <c r="E84" s="268"/>
      <c r="F84" s="267"/>
    </row>
    <row r="85" spans="1:6" s="352" customFormat="1">
      <c r="A85" s="269" t="s">
        <v>766</v>
      </c>
      <c r="B85" s="266">
        <f>'Sources and Uses Budget'!$C84</f>
        <v>0</v>
      </c>
      <c r="C85" s="266">
        <f>'Sources and Uses Budget'!$C84</f>
        <v>0</v>
      </c>
      <c r="D85" s="270">
        <f t="shared" si="1"/>
        <v>0</v>
      </c>
      <c r="E85" s="268"/>
      <c r="F85" s="267"/>
    </row>
    <row r="86" spans="1:6" s="352" customFormat="1">
      <c r="A86" s="269" t="s">
        <v>767</v>
      </c>
      <c r="B86" s="266">
        <f>'Sources and Uses Budget'!$C85</f>
        <v>1355001</v>
      </c>
      <c r="C86" s="266">
        <f>'Sources and Uses Budget'!$C85</f>
        <v>1355001</v>
      </c>
      <c r="D86" s="270">
        <f t="shared" si="1"/>
        <v>0</v>
      </c>
      <c r="E86" s="268"/>
      <c r="F86" s="267"/>
    </row>
    <row r="87" spans="1:6" s="352" customFormat="1">
      <c r="A87" s="269" t="s">
        <v>768</v>
      </c>
      <c r="B87" s="266">
        <f>'Sources and Uses Budget'!$C86</f>
        <v>289560</v>
      </c>
      <c r="C87" s="266">
        <f>'Sources and Uses Budget'!$C86</f>
        <v>289560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180000</v>
      </c>
      <c r="C89" s="266">
        <f>'Sources and Uses Budget'!$C88</f>
        <v>180000</v>
      </c>
      <c r="D89" s="270">
        <f t="shared" si="1"/>
        <v>0</v>
      </c>
      <c r="E89" s="268"/>
      <c r="F89" s="267"/>
    </row>
    <row r="90" spans="1:6" s="352" customFormat="1">
      <c r="A90" s="269" t="s">
        <v>771</v>
      </c>
      <c r="B90" s="266">
        <f>'Sources and Uses Budget'!$C89</f>
        <v>100000</v>
      </c>
      <c r="C90" s="266">
        <f>'Sources and Uses Budget'!$C89</f>
        <v>100000</v>
      </c>
      <c r="D90" s="270">
        <f t="shared" si="1"/>
        <v>0</v>
      </c>
      <c r="E90" s="268"/>
      <c r="F90" s="267"/>
    </row>
    <row r="91" spans="1:6" s="352" customFormat="1">
      <c r="A91" s="269" t="s">
        <v>772</v>
      </c>
      <c r="B91" s="266">
        <f>'Sources and Uses Budget'!$C90</f>
        <v>20000</v>
      </c>
      <c r="C91" s="266">
        <f>'Sources and Uses Budget'!$C90</f>
        <v>20000</v>
      </c>
      <c r="D91" s="270">
        <f t="shared" si="1"/>
        <v>0</v>
      </c>
      <c r="E91" s="268"/>
      <c r="F91" s="267"/>
    </row>
    <row r="92" spans="1:6" s="352" customFormat="1">
      <c r="A92" s="269" t="s">
        <v>371</v>
      </c>
      <c r="B92" s="266">
        <f>'Sources and Uses Budget'!$C91</f>
        <v>75000</v>
      </c>
      <c r="C92" s="266">
        <f>'Sources and Uses Budget'!$C91</f>
        <v>75000</v>
      </c>
      <c r="D92" s="270">
        <f t="shared" si="1"/>
        <v>0</v>
      </c>
      <c r="E92" s="268"/>
      <c r="F92" s="267"/>
    </row>
    <row r="93" spans="1:6" s="352" customFormat="1">
      <c r="A93" s="510" t="s">
        <v>1210</v>
      </c>
      <c r="B93" s="266">
        <f>'Sources and Uses Budget'!$C92</f>
        <v>20000</v>
      </c>
      <c r="C93" s="266">
        <f>'Sources and Uses Budget'!$C92</f>
        <v>20000</v>
      </c>
      <c r="D93" s="270">
        <f t="shared" si="1"/>
        <v>0</v>
      </c>
      <c r="E93" s="268"/>
      <c r="F93" s="267"/>
    </row>
    <row r="94" spans="1:6" s="352" customFormat="1">
      <c r="A94" s="272" t="s">
        <v>34</v>
      </c>
      <c r="B94" s="266">
        <f>'Sources and Uses Budget'!$C93</f>
        <v>675000</v>
      </c>
      <c r="C94" s="266">
        <f>'Sources and Uses Budget'!$C93</f>
        <v>675000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2837152</v>
      </c>
      <c r="C97" s="270">
        <f>SUM(C84:C96)</f>
        <v>2837152</v>
      </c>
      <c r="D97" s="270">
        <f t="shared" si="1"/>
        <v>0</v>
      </c>
      <c r="E97" s="268"/>
      <c r="F97" s="267"/>
    </row>
    <row r="98" spans="1:6" s="352" customFormat="1">
      <c r="A98" s="271" t="s">
        <v>774</v>
      </c>
      <c r="B98" s="270">
        <f>SUM(B64+B71+B78+B82+B97)</f>
        <v>84258143</v>
      </c>
      <c r="C98" s="270">
        <f>SUM(C64+C71+C78+C82+C97)</f>
        <v>84258143</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10613920</v>
      </c>
      <c r="C100" s="266">
        <f>'Sources and Uses Budget'!$C99</f>
        <v>10613920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10613920</v>
      </c>
      <c r="C105" s="270">
        <f>SUM(C100:C104)</f>
        <v>10613920</v>
      </c>
      <c r="D105" s="270">
        <f t="shared" si="1"/>
        <v>0</v>
      </c>
      <c r="E105" s="268"/>
      <c r="F105" s="267"/>
    </row>
    <row r="106" spans="1:6" s="352" customFormat="1">
      <c r="A106" s="271" t="s">
        <v>779</v>
      </c>
      <c r="B106" s="273">
        <f>SUM(B98+B105)</f>
        <v>94872063</v>
      </c>
      <c r="C106" s="273">
        <f>SUM(C98+C105)</f>
        <v>94872063</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 Bovee</cp:lastModifiedBy>
  <cp:lastPrinted>2025-05-12T23:45:55Z</cp:lastPrinted>
  <dcterms:created xsi:type="dcterms:W3CDTF">2007-12-27T18:26:28Z</dcterms:created>
  <dcterms:modified xsi:type="dcterms:W3CDTF">2025-05-16T03:32:55Z</dcterms:modified>
</cp:coreProperties>
</file>