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C7C1FA4E-67D3-4DFF-A376-7902D6D5BA03}" xr6:coauthVersionLast="47" xr6:coauthVersionMax="47" xr10:uidLastSave="{00000000-0000-0000-0000-000000000000}"/>
  <bookViews>
    <workbookView xWindow="-120" yWindow="-120" windowWidth="25440" windowHeight="1539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9" i="4" l="1"/>
  <c r="C46" i="4"/>
  <c r="E46" i="4" s="1"/>
  <c r="C45" i="4"/>
  <c r="L4" i="4"/>
  <c r="AO640" i="3"/>
  <c r="AO633" i="3"/>
  <c r="C633" i="3"/>
  <c r="AM560" i="3"/>
  <c r="W853" i="3" l="1"/>
  <c r="F5" i="8"/>
  <c r="F6" i="8"/>
  <c r="F4" i="8"/>
  <c r="E45" i="4"/>
  <c r="E49" i="4"/>
  <c r="C53" i="4"/>
  <c r="E13" i="4"/>
  <c r="C80" i="4"/>
  <c r="I949" i="3"/>
  <c r="AA919" i="3"/>
  <c r="AA918" i="3"/>
  <c r="T720" i="3"/>
  <c r="O720" i="3"/>
  <c r="K720" i="3"/>
  <c r="AM556" i="3" l="1"/>
  <c r="E84" i="4"/>
  <c r="E85" i="4"/>
  <c r="E86" i="4"/>
  <c r="E87" i="4"/>
  <c r="E88" i="4"/>
  <c r="E89" i="4"/>
  <c r="E90" i="4"/>
  <c r="E91" i="4"/>
  <c r="E92" i="4"/>
  <c r="E93" i="4"/>
  <c r="E94" i="4"/>
  <c r="E95" i="4"/>
  <c r="E83" i="4"/>
  <c r="E75" i="4"/>
  <c r="E69" i="4"/>
  <c r="E65" i="4"/>
  <c r="E58" i="4"/>
  <c r="E47" i="4"/>
  <c r="E48" i="4"/>
  <c r="E50" i="4"/>
  <c r="E51" i="4"/>
  <c r="E52" i="4"/>
  <c r="E43" i="4"/>
  <c r="E41" i="4"/>
  <c r="E31" i="4"/>
  <c r="E34" i="4"/>
  <c r="E35" i="4"/>
  <c r="E36" i="4"/>
  <c r="E37" i="4"/>
  <c r="K99" i="4"/>
  <c r="AO632" i="3" s="1"/>
  <c r="E5" i="4"/>
  <c r="C76" i="4"/>
  <c r="E76" i="4" s="1"/>
  <c r="C43" i="4"/>
  <c r="C40" i="4"/>
  <c r="E40" i="4" s="1"/>
  <c r="C32" i="4"/>
  <c r="C33" i="4" l="1"/>
  <c r="E33" i="4" s="1"/>
  <c r="E32" i="4"/>
  <c r="E99" i="4"/>
  <c r="W855" i="3"/>
  <c r="Q628" i="3"/>
  <c r="Q629" i="3" s="1"/>
  <c r="BE103" i="3"/>
  <c r="AC216" i="23"/>
  <c r="Y216" i="23"/>
  <c r="U216" i="23"/>
  <c r="BQ102" i="23"/>
  <c r="BQ101" i="23"/>
  <c r="N11" i="23"/>
  <c r="W879"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P49" i="21" s="1" a="1"/>
  <c r="P49" i="21" s="1"/>
  <c r="N49" i="21"/>
  <c r="L50" i="21"/>
  <c r="M50" i="21"/>
  <c r="T50" i="21" s="1"/>
  <c r="N50" i="21"/>
  <c r="L51" i="21"/>
  <c r="M51" i="21"/>
  <c r="R51" i="21" s="1" a="1"/>
  <c r="R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U46" i="21"/>
  <c r="T46" i="21"/>
  <c r="T45" i="21"/>
  <c r="S45" i="21"/>
  <c r="S52" i="21"/>
  <c r="U50" i="21"/>
  <c r="P52" i="21" a="1"/>
  <c r="P52" i="21" s="1"/>
  <c r="R53" i="21" a="1"/>
  <c r="R53" i="21" s="1"/>
  <c r="S46" i="21"/>
  <c r="Q627" i="3"/>
  <c r="O51" i="21"/>
  <c r="O49" i="21"/>
  <c r="P48" i="21" a="1"/>
  <c r="P48" i="21" s="1"/>
  <c r="U49" i="21"/>
  <c r="T49" i="21"/>
  <c r="U48" i="21"/>
  <c r="U47" i="21"/>
  <c r="S50" i="21"/>
  <c r="S49" i="21"/>
  <c r="T48" i="21"/>
  <c r="T47" i="21"/>
  <c r="U51" i="21"/>
  <c r="P50" i="21" a="1"/>
  <c r="P50" i="21" s="1"/>
  <c r="R49" i="21" a="1"/>
  <c r="R49" i="21" s="1"/>
  <c r="S48" i="21"/>
  <c r="S47" i="21"/>
  <c r="P51" i="21" a="1"/>
  <c r="P51" i="21" s="1"/>
  <c r="O50" i="21"/>
  <c r="R48" i="21" a="1"/>
  <c r="R48" i="21" s="1"/>
  <c r="R47" i="21" a="1"/>
  <c r="R47" i="21" s="1"/>
  <c r="Q630" i="3"/>
  <c r="T629" i="3"/>
  <c r="T628" i="3"/>
  <c r="T627" i="3" s="1"/>
  <c r="U53" i="21"/>
  <c r="T51" i="21"/>
  <c r="T53" i="21"/>
  <c r="S51"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Q631" i="3" l="1"/>
  <c r="T631" i="3" s="1"/>
  <c r="T630" i="3"/>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87" i="13"/>
  <c r="E65" i="13"/>
  <c r="E53" i="13"/>
  <c r="E49" i="13"/>
  <c r="E48" i="13"/>
  <c r="E47" i="13"/>
  <c r="E46" i="13"/>
  <c r="E45" i="13"/>
  <c r="E34" i="13"/>
  <c r="E29"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S94" i="4" s="1"/>
  <c r="E94" i="13" s="1"/>
  <c r="R93" i="4"/>
  <c r="S93" i="4" s="1"/>
  <c r="E93" i="13" s="1"/>
  <c r="R92" i="4"/>
  <c r="S92" i="4" s="1"/>
  <c r="E92" i="13" s="1"/>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R52" i="4"/>
  <c r="S52" i="4" s="1"/>
  <c r="E52" i="13" s="1"/>
  <c r="R51" i="4"/>
  <c r="S51" i="4" s="1"/>
  <c r="E51" i="13" s="1"/>
  <c r="R50" i="4"/>
  <c r="S50" i="4" s="1"/>
  <c r="E50" i="13" s="1"/>
  <c r="R49" i="4"/>
  <c r="R48" i="4"/>
  <c r="R47" i="4"/>
  <c r="R46" i="4"/>
  <c r="R45" i="4"/>
  <c r="H45" i="13" s="1"/>
  <c r="R43" i="4"/>
  <c r="S43" i="4" s="1"/>
  <c r="E43" i="13" s="1"/>
  <c r="R41" i="4"/>
  <c r="S41" i="4" s="1"/>
  <c r="E41" i="13" s="1"/>
  <c r="R40" i="4"/>
  <c r="S40" i="4" s="1"/>
  <c r="E40" i="13" s="1"/>
  <c r="R37" i="4"/>
  <c r="S37" i="4" s="1"/>
  <c r="E37" i="13" s="1"/>
  <c r="R35" i="4"/>
  <c r="S35" i="4" s="1"/>
  <c r="E35" i="13" s="1"/>
  <c r="R34" i="4"/>
  <c r="R33" i="4"/>
  <c r="S33" i="4" s="1"/>
  <c r="E33" i="13" s="1"/>
  <c r="R32" i="4"/>
  <c r="S32" i="4" s="1"/>
  <c r="E32" i="13" s="1"/>
  <c r="R31" i="4"/>
  <c r="S31" i="4" s="1"/>
  <c r="E31" i="13" s="1"/>
  <c r="R29" i="4"/>
  <c r="R27" i="4"/>
  <c r="R25" i="4"/>
  <c r="R23" i="4"/>
  <c r="R22" i="4"/>
  <c r="R21" i="4"/>
  <c r="R20" i="4"/>
  <c r="R19" i="4"/>
  <c r="R18" i="4"/>
  <c r="R17" i="4"/>
  <c r="R15" i="4"/>
  <c r="R14" i="4"/>
  <c r="R13" i="4"/>
  <c r="S13" i="4" s="1"/>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F30" i="4" s="1"/>
  <c r="F38" i="4" s="1"/>
  <c r="G108" i="4"/>
  <c r="G30" i="4" s="1"/>
  <c r="G38" i="4" s="1"/>
  <c r="H108" i="4"/>
  <c r="H30" i="4" s="1"/>
  <c r="H38" i="4" s="1"/>
  <c r="I108" i="4"/>
  <c r="I30" i="4" s="1"/>
  <c r="I38" i="4" s="1"/>
  <c r="J108" i="4"/>
  <c r="J30" i="4" s="1"/>
  <c r="J38" i="4" s="1"/>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l="1"/>
  <c r="B26" i="4"/>
  <c r="S81" i="4"/>
  <c r="E81" i="13" s="1"/>
  <c r="E80" i="13"/>
  <c r="J4" i="8"/>
  <c r="S96" i="4"/>
  <c r="E96" i="13" s="1"/>
  <c r="S104" i="4"/>
  <c r="E104" i="13" s="1"/>
  <c r="S54" i="4"/>
  <c r="E54" i="13" s="1"/>
  <c r="S42" i="4"/>
  <c r="E42" i="13" s="1"/>
  <c r="E30" i="4"/>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A1058" i="3" l="1"/>
  <c r="E38" i="4"/>
  <c r="E63" i="4" s="1"/>
  <c r="E97" i="4" s="1"/>
  <c r="E105" i="4" s="1"/>
  <c r="R30" i="4"/>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K469" i="20" l="1"/>
  <c r="T817" i="20" s="1"/>
  <c r="AF817" i="20" s="1"/>
  <c r="BE80" i="3" s="1"/>
  <c r="R38" i="4"/>
  <c r="R63" i="4" s="1"/>
  <c r="R97" i="4" s="1"/>
  <c r="R105" i="4" s="1"/>
  <c r="S30" i="4"/>
  <c r="O22" i="21"/>
  <c r="O20" i="21"/>
  <c r="P20" i="21" s="1" a="1"/>
  <c r="P20" i="21" s="1"/>
  <c r="S20" i="21" s="1"/>
  <c r="D64" i="11"/>
  <c r="B105" i="4"/>
  <c r="AB47" i="15" s="1"/>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E7" i="7"/>
  <c r="M15" i="7"/>
  <c r="K22" i="7"/>
  <c r="K35" i="7" s="1"/>
  <c r="F27" i="21"/>
  <c r="G61" i="21"/>
  <c r="G63" i="21" s="1"/>
  <c r="G65" i="21" s="1"/>
  <c r="E13" i="21" s="1"/>
  <c r="F28" i="21"/>
  <c r="G28" i="21" s="1"/>
  <c r="G52" i="21"/>
  <c r="G54" i="21" s="1"/>
  <c r="G56" i="21" s="1"/>
  <c r="E12" i="21" s="1"/>
  <c r="E30" i="13" l="1"/>
  <c r="S38" i="4"/>
  <c r="AB266" i="20"/>
  <c r="AG268" i="20" s="1"/>
  <c r="AG270" i="20" s="1"/>
  <c r="AK273" i="20" s="1"/>
  <c r="T812" i="20" s="1"/>
  <c r="AF812" i="20" s="1"/>
  <c r="BE77" i="3" s="1"/>
  <c r="AC454" i="3"/>
  <c r="AK191" i="20"/>
  <c r="T811" i="20" s="1"/>
  <c r="AF811" i="20" s="1"/>
  <c r="BE76" i="3" s="1"/>
  <c r="N185" i="23"/>
  <c r="BE22" i="3"/>
  <c r="AB49" i="15"/>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M22" i="7"/>
  <c r="M35" i="7" s="1"/>
  <c r="O15" i="7"/>
  <c r="M9" i="7"/>
  <c r="O8" i="7"/>
  <c r="G27" i="21"/>
  <c r="F26" i="21"/>
  <c r="AJ994" i="3" l="1"/>
  <c r="AJ1029" i="3"/>
  <c r="AJ1032" i="3"/>
  <c r="AJ1036" i="3" s="1"/>
  <c r="I15" i="21" s="1"/>
  <c r="E38" i="13"/>
  <c r="S63" i="4"/>
  <c r="BE44" i="3"/>
  <c r="F457" i="3"/>
  <c r="AD11" i="15"/>
  <c r="AD23" i="15" s="1"/>
  <c r="AD26" i="15" s="1"/>
  <c r="AD28" i="15" s="1"/>
  <c r="AI11" i="15"/>
  <c r="AI23" i="15" s="1"/>
  <c r="AI26" i="15" s="1"/>
  <c r="AI28" i="15" s="1"/>
  <c r="N196" i="23"/>
  <c r="N186" i="23"/>
  <c r="S58" i="7"/>
  <c r="U53" i="7"/>
  <c r="AJ1045" i="3"/>
  <c r="AJ1049" i="3"/>
  <c r="AP553" i="20" s="1"/>
  <c r="AP550" i="20"/>
  <c r="K4" i="7"/>
  <c r="M4" i="7" s="1"/>
  <c r="E45" i="7"/>
  <c r="E48" i="7" s="1"/>
  <c r="G26" i="21"/>
  <c r="F29" i="21"/>
  <c r="G29" i="21"/>
  <c r="O22" i="7"/>
  <c r="O35" i="7" s="1"/>
  <c r="Q15" i="7"/>
  <c r="O9" i="7"/>
  <c r="Q8" i="7"/>
  <c r="S97" i="4" l="1"/>
  <c r="E63" i="13"/>
  <c r="U58" i="7"/>
  <c r="W53" i="7"/>
  <c r="AJ1053" i="3"/>
  <c r="AP552" i="20"/>
  <c r="AP554" i="20" s="1"/>
  <c r="K5" i="7"/>
  <c r="E47" i="7"/>
  <c r="E60" i="7"/>
  <c r="E62" i="7" s="1"/>
  <c r="O4" i="7"/>
  <c r="M5" i="7"/>
  <c r="Q22" i="7"/>
  <c r="Q35" i="7" s="1"/>
  <c r="S15" i="7"/>
  <c r="G79" i="21"/>
  <c r="G31" i="21"/>
  <c r="G33" i="21" s="1"/>
  <c r="E9" i="21" s="1"/>
  <c r="G88" i="21"/>
  <c r="G90" i="21" s="1"/>
  <c r="E16" i="21" s="1"/>
  <c r="G111" i="21"/>
  <c r="G96" i="21"/>
  <c r="Q9" i="7"/>
  <c r="S8" i="7"/>
  <c r="AZ1046" i="3" l="1"/>
  <c r="S105" i="4"/>
  <c r="E97" i="13"/>
  <c r="G80" i="21"/>
  <c r="E15" i="21" s="1"/>
  <c r="W58" i="7"/>
  <c r="Y53" i="7"/>
  <c r="T24" i="15"/>
  <c r="AP557" i="20"/>
  <c r="AP556" i="20" s="1"/>
  <c r="AP559" i="20" s="1"/>
  <c r="AF552" i="20" s="1"/>
  <c r="E66" i="7"/>
  <c r="E67" i="7"/>
  <c r="O5" i="7"/>
  <c r="Q4" i="7"/>
  <c r="G101" i="21"/>
  <c r="G113" i="21"/>
  <c r="G97" i="21"/>
  <c r="S22" i="7"/>
  <c r="S35" i="7" s="1"/>
  <c r="U15" i="7"/>
  <c r="U8" i="7"/>
  <c r="S9" i="7"/>
  <c r="S107" i="4" l="1"/>
  <c r="E105" i="13"/>
  <c r="BA1056" i="3"/>
  <c r="AZ1051" i="3"/>
  <c r="AA53" i="7"/>
  <c r="Y58" i="7"/>
  <c r="G115" i="21"/>
  <c r="E17" i="21" s="1"/>
  <c r="E14" i="21" s="1"/>
  <c r="E18" i="21" s="1"/>
  <c r="E70" i="7"/>
  <c r="E72" i="7" s="1"/>
  <c r="S4" i="7"/>
  <c r="Q5" i="7"/>
  <c r="U22" i="7"/>
  <c r="U35" i="7" s="1"/>
  <c r="W15" i="7"/>
  <c r="U9" i="7"/>
  <c r="W8" i="7"/>
  <c r="BA1055" i="3" l="1"/>
  <c r="BA1059" i="3" s="1"/>
  <c r="AF551" i="20"/>
  <c r="AF553" i="20" s="1"/>
  <c r="AK559" i="20" s="1"/>
  <c r="T818" i="20" s="1"/>
  <c r="AF818" i="20" s="1"/>
  <c r="BE81" i="3" s="1"/>
  <c r="E107" i="13"/>
  <c r="AE699" i="3" s="1"/>
  <c r="AC456" i="3"/>
  <c r="AA1056" i="3"/>
  <c r="AC53" i="7"/>
  <c r="AA58" i="7"/>
  <c r="U4" i="7"/>
  <c r="S5" i="7"/>
  <c r="W22" i="7"/>
  <c r="W35" i="7" s="1"/>
  <c r="Y15" i="7"/>
  <c r="W9" i="7"/>
  <c r="Y8" i="7"/>
  <c r="AA1057" i="3" l="1"/>
  <c r="G1058" i="3" s="1"/>
  <c r="T11" i="15"/>
  <c r="T23" i="15" s="1"/>
  <c r="Y11" i="15"/>
  <c r="Y23" i="15" s="1"/>
  <c r="Y26" i="15" s="1"/>
  <c r="Y28" i="15" s="1"/>
  <c r="Y64" i="15" s="1"/>
  <c r="Y68" i="15" s="1"/>
  <c r="Y69" i="15" s="1"/>
  <c r="AE53" i="7"/>
  <c r="AC58" i="7"/>
  <c r="U5" i="7"/>
  <c r="W4" i="7"/>
  <c r="Y22" i="7"/>
  <c r="Y35" i="7" s="1"/>
  <c r="AA15" i="7"/>
  <c r="Y9" i="7"/>
  <c r="AA8" i="7"/>
  <c r="T26" i="15" l="1"/>
  <c r="T28" i="15" s="1"/>
  <c r="T29" i="15" s="1"/>
  <c r="AD38" i="15"/>
  <c r="AD40" i="15" s="1"/>
  <c r="Y38" i="15"/>
  <c r="Y40" i="15" s="1"/>
  <c r="AB50" i="15" s="1"/>
  <c r="AG53" i="7"/>
  <c r="AG58" i="7" s="1"/>
  <c r="AE58" i="7"/>
  <c r="W5" i="7"/>
  <c r="Y4" i="7"/>
  <c r="AC15" i="7"/>
  <c r="AA22" i="7"/>
  <c r="AA35" i="7" s="1"/>
  <c r="AC8" i="7"/>
  <c r="AA9" i="7"/>
  <c r="AB54" i="15" l="1"/>
  <c r="AB55" i="15" s="1"/>
  <c r="BE62" i="3"/>
  <c r="Y41" i="15"/>
  <c r="AA4" i="7"/>
  <c r="Y5" i="7"/>
  <c r="AE15" i="7"/>
  <c r="AC22" i="7"/>
  <c r="AC35" i="7" s="1"/>
  <c r="AC9" i="7"/>
  <c r="AE8" i="7"/>
  <c r="AB56" i="15" l="1"/>
  <c r="M26" i="3" s="1"/>
  <c r="AA5" i="7"/>
  <c r="AC4" i="7"/>
  <c r="AE22" i="7"/>
  <c r="AE35" i="7" s="1"/>
  <c r="AG15" i="7"/>
  <c r="AG22" i="7" s="1"/>
  <c r="AG35" i="7" s="1"/>
  <c r="AE9" i="7"/>
  <c r="AG8" i="7"/>
  <c r="AG9" i="7" s="1"/>
  <c r="AB57" i="15" l="1"/>
  <c r="AB59" i="15" s="1"/>
  <c r="AB77" i="15" s="1"/>
  <c r="AB78" i="15" s="1"/>
  <c r="AB79" i="15" s="1"/>
  <c r="AB81" i="15" s="1"/>
  <c r="J82" i="15" s="1"/>
  <c r="BE19" i="3"/>
  <c r="P204" i="3"/>
  <c r="AC5" i="7"/>
  <c r="AE4" i="7"/>
  <c r="M27" i="3" l="1"/>
  <c r="I10" i="21"/>
  <c r="I11" i="21" s="1"/>
  <c r="I18" i="21" s="1"/>
  <c r="H4" i="21" s="1"/>
  <c r="AE5" i="7"/>
  <c r="AG4" i="7"/>
  <c r="BE20" i="3" l="1"/>
  <c r="P205" i="3"/>
  <c r="AG5" i="7"/>
  <c r="BH753" i="3" l="1"/>
  <c r="AC753" i="3" s="1"/>
  <c r="BE42" i="3" s="1"/>
  <c r="E93" i="20" l="1"/>
  <c r="E94" i="20" s="1"/>
  <c r="E95" i="20" s="1"/>
  <c r="AP95" i="20" s="1"/>
  <c r="E103" i="20"/>
  <c r="E106" i="20" s="1"/>
  <c r="AP106" i="20" s="1"/>
  <c r="AK109" i="20" l="1"/>
  <c r="T806" i="20" s="1"/>
  <c r="AF806" i="20" s="1"/>
  <c r="BE73" i="3" s="1"/>
  <c r="H3" i="21"/>
  <c r="AF821" i="20" l="1"/>
  <c r="BE70" i="3" s="1"/>
  <c r="H5" i="21"/>
  <c r="BE83" i="3" s="1"/>
  <c r="G6" i="7"/>
  <c r="I6" i="7"/>
  <c r="K6" i="7"/>
  <c r="M6" i="7"/>
  <c r="O6" i="7"/>
  <c r="Q6" i="7"/>
  <c r="S6" i="7"/>
  <c r="U6" i="7"/>
  <c r="W6" i="7"/>
  <c r="Y6" i="7"/>
  <c r="AA6" i="7"/>
  <c r="AC6" i="7"/>
  <c r="AE6" i="7"/>
  <c r="AG6" i="7"/>
  <c r="G7" i="7"/>
  <c r="I7" i="7"/>
  <c r="K7" i="7"/>
  <c r="M7" i="7"/>
  <c r="O7" i="7"/>
  <c r="Q7" i="7"/>
  <c r="S7" i="7"/>
  <c r="U7" i="7"/>
  <c r="W7" i="7"/>
  <c r="Y7" i="7"/>
  <c r="AA7" i="7"/>
  <c r="AC7" i="7"/>
  <c r="AE7" i="7"/>
  <c r="AG7" i="7"/>
  <c r="G11" i="7"/>
  <c r="I11" i="7"/>
  <c r="K11" i="7"/>
  <c r="M11" i="7"/>
  <c r="O11" i="7"/>
  <c r="Q11" i="7"/>
  <c r="S11" i="7"/>
  <c r="U11" i="7"/>
  <c r="W11" i="7"/>
  <c r="Y11" i="7"/>
  <c r="AA11" i="7"/>
  <c r="AC11" i="7"/>
  <c r="AE11" i="7"/>
  <c r="AG11" i="7"/>
  <c r="G37" i="7"/>
  <c r="I37" i="7"/>
  <c r="K37" i="7"/>
  <c r="M37" i="7"/>
  <c r="O37" i="7"/>
  <c r="Q37" i="7"/>
  <c r="S37" i="7"/>
  <c r="U37" i="7"/>
  <c r="W37" i="7"/>
  <c r="Y37" i="7"/>
  <c r="AA37" i="7"/>
  <c r="AC37" i="7"/>
  <c r="AE37" i="7"/>
  <c r="AG37" i="7"/>
  <c r="G45" i="7"/>
  <c r="I45" i="7"/>
  <c r="K45" i="7"/>
  <c r="M45" i="7"/>
  <c r="O45" i="7"/>
  <c r="Q45" i="7"/>
  <c r="S45" i="7"/>
  <c r="U45" i="7"/>
  <c r="W45" i="7"/>
  <c r="Y45" i="7"/>
  <c r="AA45" i="7"/>
  <c r="AC45" i="7"/>
  <c r="AE45" i="7"/>
  <c r="AG45" i="7"/>
  <c r="G47" i="7"/>
  <c r="I47" i="7"/>
  <c r="K47" i="7"/>
  <c r="M47" i="7"/>
  <c r="O47" i="7"/>
  <c r="Q47" i="7"/>
  <c r="S47" i="7"/>
  <c r="U47" i="7"/>
  <c r="W47" i="7"/>
  <c r="Y47" i="7"/>
  <c r="AA47" i="7"/>
  <c r="AC47" i="7"/>
  <c r="AE47" i="7"/>
  <c r="AG47" i="7"/>
  <c r="G48" i="7"/>
  <c r="I48" i="7"/>
  <c r="K48" i="7"/>
  <c r="M48" i="7"/>
  <c r="O48" i="7"/>
  <c r="Q48" i="7"/>
  <c r="S48" i="7"/>
  <c r="U48" i="7"/>
  <c r="W48" i="7"/>
  <c r="Y48" i="7"/>
  <c r="AA48" i="7"/>
  <c r="AC48" i="7"/>
  <c r="AE48" i="7"/>
  <c r="AG48" i="7"/>
  <c r="G49" i="7"/>
  <c r="I49" i="7"/>
  <c r="K49" i="7"/>
  <c r="M49" i="7"/>
  <c r="O49" i="7"/>
  <c r="Q49" i="7"/>
  <c r="S49" i="7"/>
  <c r="U49" i="7"/>
  <c r="W49" i="7"/>
  <c r="Y49" i="7"/>
  <c r="AA49" i="7"/>
  <c r="AC49" i="7"/>
  <c r="AE49" i="7"/>
  <c r="AG49" i="7"/>
  <c r="G60" i="7"/>
  <c r="I60" i="7"/>
  <c r="K60" i="7"/>
  <c r="M60" i="7"/>
  <c r="O60" i="7"/>
  <c r="Q60" i="7"/>
  <c r="S60" i="7"/>
  <c r="U60" i="7"/>
  <c r="W60" i="7"/>
  <c r="Y60" i="7"/>
  <c r="AA60" i="7"/>
  <c r="AC60" i="7"/>
  <c r="AE60" i="7"/>
  <c r="AG60" i="7"/>
  <c r="G62" i="7"/>
  <c r="I62" i="7"/>
  <c r="K62" i="7"/>
  <c r="M62" i="7"/>
  <c r="O62" i="7"/>
  <c r="Q62" i="7"/>
  <c r="S62" i="7"/>
  <c r="U62" i="7"/>
  <c r="W62" i="7"/>
  <c r="Y62" i="7"/>
  <c r="AA62" i="7"/>
  <c r="AC62" i="7"/>
  <c r="AE62" i="7"/>
  <c r="AG62" i="7"/>
  <c r="G66" i="7"/>
  <c r="I66" i="7"/>
  <c r="K66" i="7"/>
  <c r="M66" i="7"/>
  <c r="O66" i="7"/>
  <c r="Q66" i="7"/>
  <c r="S66" i="7"/>
  <c r="U66" i="7"/>
  <c r="W66" i="7"/>
  <c r="Y66" i="7"/>
  <c r="AA66" i="7"/>
  <c r="AC66" i="7"/>
  <c r="AE66" i="7"/>
  <c r="AG66" i="7"/>
  <c r="G67" i="7"/>
  <c r="I67" i="7"/>
  <c r="K67" i="7"/>
  <c r="M67" i="7"/>
  <c r="O67" i="7"/>
  <c r="Q67" i="7"/>
  <c r="S67" i="7"/>
  <c r="U67" i="7"/>
  <c r="W67" i="7"/>
  <c r="Y67" i="7"/>
  <c r="AA67" i="7"/>
  <c r="AC67" i="7"/>
  <c r="AE67" i="7"/>
  <c r="AG67" i="7"/>
  <c r="G70" i="7"/>
  <c r="I70" i="7"/>
  <c r="K70" i="7"/>
  <c r="M70" i="7"/>
  <c r="O70" i="7"/>
  <c r="Q70" i="7"/>
  <c r="S70" i="7"/>
  <c r="U70" i="7"/>
  <c r="W70" i="7"/>
  <c r="Y70" i="7"/>
  <c r="AA70" i="7"/>
  <c r="AC70" i="7"/>
  <c r="AE70" i="7"/>
  <c r="AG70" i="7"/>
  <c r="G72" i="7"/>
  <c r="I72" i="7"/>
  <c r="K72" i="7"/>
  <c r="M72" i="7"/>
  <c r="O72" i="7"/>
  <c r="Q72" i="7"/>
  <c r="S72" i="7"/>
  <c r="U72" i="7"/>
  <c r="W72" i="7"/>
  <c r="Y72" i="7"/>
  <c r="AA72" i="7"/>
  <c r="AC72" i="7"/>
  <c r="AE72"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529D7E5A-4FEB-4B16-A122-A71B1C2468B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C554" authorId="0" shapeId="0" xr:uid="{1B624503-9F3A-4D44-835D-677B3C9F1D51}">
      <text>
        <r>
          <rPr>
            <sz val="9"/>
            <color rgb="FF000000"/>
            <rFont val="Tahoma"/>
            <family val="2"/>
          </rPr>
          <t>Input tax-exempt bond amount.  This cell is linked to the tie breaker.  Do not include any taxable bond amount.</t>
        </r>
      </text>
    </comment>
    <comment ref="C627" authorId="0" shapeId="0" xr:uid="{F9D245D1-B150-4778-894C-C50C501CB21F}">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<sst xmlns="http://schemas.openxmlformats.org/spreadsheetml/2006/main" count="5010" uniqueCount="2759">
  <si>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</si>
  <si>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</si>
  <si>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</si>
  <si>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</si>
  <si>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</si>
  <si>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</si>
  <si>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</si>
  <si>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</si>
  <si>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</si>
  <si>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</si>
  <si>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</si>
  <si>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</si>
  <si>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</si>
  <si>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</si>
  <si>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</si>
  <si>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</si>
  <si>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</si>
  <si>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</si>
  <si>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</si>
  <si>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</si>
  <si>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</si>
  <si>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</si>
  <si>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</si>
  <si>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</si>
  <si>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</si>
  <si>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</si>
  <si>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</si>
  <si>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</si>
  <si>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</si>
  <si>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</si>
  <si>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</si>
  <si>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</si>
  <si>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</si>
  <si>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</si>
  <si>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</si>
  <si>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</si>
  <si>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</si>
  <si>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</si>
  <si>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</si>
  <si>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</si>
  <si>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</si>
  <si>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</si>
  <si>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</si>
  <si>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</si>
  <si>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</si>
  <si>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</si>
  <si>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</si>
  <si>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</si>
  <si>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</si>
  <si>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</si>
  <si>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</si>
  <si>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</si>
  <si>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</si>
  <si>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</si>
  <si>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</si>
  <si>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</si>
  <si>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</si>
  <si>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</si>
  <si>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</si>
  <si>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</si>
  <si>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</si>
  <si>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</si>
  <si>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</si>
  <si>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</si>
  <si>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</si>
  <si>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</si>
  <si>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</si>
  <si>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</si>
  <si>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</si>
  <si>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</si>
  <si>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</si>
  <si>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</si>
  <si>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</si>
  <si>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</si>
  <si>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</si>
  <si>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</si>
  <si>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</si>
  <si>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</si>
  <si>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</si>
  <si>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</si>
  <si>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</si>
  <si>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</si>
  <si>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</si>
  <si>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</si>
  <si>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</si>
  <si>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</si>
  <si>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</si>
  <si>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</si>
  <si>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</si>
  <si>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</si>
  <si>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</si>
  <si>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</si>
  <si>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</si>
  <si>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</si>
  <si>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</si>
  <si>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</si>
  <si>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</si>
  <si>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</si>
  <si>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</si>
  <si>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</si>
  <si>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</si>
  <si>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</si>
  <si>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</si>
  <si>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</si>
  <si>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</si>
  <si>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</si>
  <si>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</si>
  <si>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</si>
  <si>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</si>
  <si>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</si>
  <si>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</si>
  <si>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</si>
  <si>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</si>
  <si>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</si>
  <si>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</si>
  <si>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</si>
  <si>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</si>
  <si>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</si>
  <si>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</si>
  <si>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</si>
  <si>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</si>
  <si>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</si>
  <si>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</si>
  <si>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</si>
  <si>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</si>
  <si>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</si>
  <si>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</si>
  <si>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</si>
  <si>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</si>
  <si>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</si>
  <si>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</si>
  <si>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</si>
  <si>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</si>
  <si>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</si>
  <si>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</si>
  <si>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</si>
  <si>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</si>
  <si>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</si>
  <si>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</si>
  <si>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</si>
  <si>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</si>
  <si>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</si>
  <si>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</si>
  <si>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</si>
  <si>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</si>
  <si>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</si>
  <si>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</si>
  <si>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</si>
  <si>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</si>
  <si>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</si>
  <si>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</si>
  <si>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</si>
  <si>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</si>
  <si>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</si>
  <si>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</si>
  <si>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</si>
  <si>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</si>
  <si>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</si>
  <si>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</si>
  <si>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</si>
  <si>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</si>
  <si>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</si>
  <si>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</si>
  <si>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</si>
  <si>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</si>
  <si>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</si>
  <si>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</si>
  <si>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</si>
  <si>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</si>
  <si>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</si>
  <si>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</si>
  <si>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</si>
  <si>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</si>
  <si>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</si>
  <si>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</si>
  <si>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</si>
  <si>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</si>
  <si>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</si>
  <si>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</si>
  <si>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</si>
  <si>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</si>
  <si>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</si>
  <si>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</si>
  <si>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</si>
  <si>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</si>
  <si>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</si>
  <si>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</si>
  <si>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</si>
  <si>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</si>
  <si>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</si>
  <si>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</si>
  <si>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</si>
  <si>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</si>
  <si>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</si>
  <si>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</si>
  <si>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</si>
  <si>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</si>
  <si>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</si>
  <si>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</si>
  <si>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</si>
  <si>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</si>
  <si>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</si>
  <si>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</si>
  <si>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</si>
  <si>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</si>
  <si>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</si>
  <si>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</si>
  <si>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</si>
  <si>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</si>
  <si>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</si>
  <si>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</si>
  <si>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</si>
  <si>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</si>
  <si>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</si>
  <si>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</si>
  <si>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</si>
  <si>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</si>
  <si>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</si>
  <si>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</si>
  <si>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</si>
  <si>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</si>
  <si>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</si>
  <si>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</si>
  <si>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</si>
  <si>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</si>
  <si>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</si>
  <si>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</si>
  <si>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</si>
  <si>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</si>
  <si>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</si>
  <si>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</si>
  <si>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</si>
  <si>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</si>
  <si>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</si>
  <si>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</si>
  <si>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</si>
  <si>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</si>
  <si>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</si>
  <si>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</si>
  <si>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</si>
  <si>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</si>
  <si>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</si>
  <si>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</si>
  <si>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</si>
  <si>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</si>
  <si>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</si>
  <si>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</si>
  <si>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</si>
  <si>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</si>
  <si>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</si>
  <si>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</si>
  <si>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</si>
  <si>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</si>
  <si>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</si>
  <si>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</si>
  <si>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</si>
  <si>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</si>
  <si>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</si>
  <si>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</si>
  <si>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</si>
  <si>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</si>
  <si>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</si>
  <si>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</si>
  <si>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</si>
  <si>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</si>
  <si>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</si>
  <si>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</si>
  <si>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</si>
  <si>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</si>
  <si>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</si>
  <si>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</si>
  <si>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</si>
  <si>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</si>
  <si>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</si>
  <si>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</si>
  <si>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</si>
  <si>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</si>
  <si>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</si>
  <si>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</si>
  <si>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</si>
  <si>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</si>
  <si>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</si>
  <si>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</si>
  <si>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</si>
  <si>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</si>
  <si>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</si>
  <si>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</si>
  <si>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</si>
  <si>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</si>
  <si>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</si>
  <si>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</si>
  <si>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</si>
  <si>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</si>
  <si>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</si>
  <si>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</si>
  <si>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</si>
  <si>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</si>
  <si>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</si>
  <si>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</si>
  <si>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</si>
  <si>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</si>
  <si>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</si>
  <si>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</si>
  <si>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</si>
  <si>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</si>
  <si>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</si>
  <si>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</si>
  <si>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</si>
  <si>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</si>
  <si>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</si>
  <si>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</si>
  <si>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</si>
  <si>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</si>
  <si>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</si>
  <si>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</si>
  <si>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</si>
  <si>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</si>
  <si>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</si>
  <si>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</si>
  <si>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</si>
  <si>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</si>
  <si>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</si>
  <si>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</si>
  <si>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</si>
  <si>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</si>
  <si>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</si>
  <si>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</si>
  <si>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</si>
  <si>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</si>
  <si>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</si>
  <si>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</si>
  <si>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</si>
  <si>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</si>
  <si>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</si>
  <si>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</si>
  <si>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</si>
  <si>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</si>
  <si>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</si>
  <si>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</si>
  <si>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</si>
  <si>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</si>
  <si>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</si>
  <si>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</si>
  <si>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</si>
  <si>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</si>
  <si>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</si>
  <si>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</si>
  <si>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</si>
  <si>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</si>
  <si>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</si>
  <si>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</si>
  <si>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</si>
  <si>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</si>
  <si>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</si>
  <si>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</si>
  <si>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</si>
  <si>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</si>
  <si>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</si>
  <si>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</si>
  <si>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</si>
  <si>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</si>
  <si>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</si>
  <si>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</si>
  <si>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</si>
  <si>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</si>
  <si>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</si>
  <si>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</si>
  <si>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</si>
  <si>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</si>
  <si>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</si>
  <si>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</si>
  <si>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</si>
  <si>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</si>
  <si>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</si>
  <si>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</si>
  <si>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</si>
  <si>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</si>
  <si>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</si>
  <si>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</si>
  <si>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</si>
  <si>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</si>
  <si>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</si>
  <si>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</si>
  <si>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</si>
  <si>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</si>
  <si>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</si>
  <si>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</si>
  <si>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</si>
  <si>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</si>
  <si>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</si>
  <si>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</si>
  <si>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</si>
  <si>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</si>
  <si>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</si>
  <si>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</si>
  <si>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</si>
  <si>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</si>
  <si>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</si>
  <si>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</si>
  <si>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</si>
  <si>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</si>
  <si>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</si>
  <si>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</si>
  <si>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</si>
  <si>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</si>
  <si>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</si>
  <si>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</si>
  <si>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</si>
  <si>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</si>
  <si>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</si>
  <si>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</si>
  <si>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</si>
  <si>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</si>
  <si>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</si>
  <si>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</si>
  <si>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</si>
  <si>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</si>
  <si>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</si>
  <si>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</si>
  <si>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</si>
  <si>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</si>
  <si>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</si>
  <si>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</si>
  <si>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</si>
  <si>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</si>
  <si>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</si>
  <si>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</si>
  <si>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</si>
  <si>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</si>
  <si>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</si>
  <si>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</si>
  <si>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</si>
  <si>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</si>
  <si>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</si>
  <si>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</si>
  <si>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</si>
  <si>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</si>
  <si>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</si>
  <si>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</si>
  <si>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</si>
  <si>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</si>
  <si>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</si>
  <si>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</si>
  <si>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</si>
  <si>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</si>
  <si>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</si>
  <si>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</si>
  <si>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</si>
  <si>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</si>
  <si>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</si>
  <si>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</si>
  <si>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</si>
  <si>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</si>
  <si>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</si>
  <si>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</si>
  <si>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</si>
  <si>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</si>
  <si>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</si>
  <si>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</si>
  <si>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</si>
  <si>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</si>
  <si>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</si>
  <si>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</si>
  <si>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</si>
  <si>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</si>
  <si>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</si>
  <si>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</si>
  <si>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</si>
  <si>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</si>
  <si>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</si>
  <si>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</si>
  <si>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</si>
  <si>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</si>
  <si>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</si>
  <si>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</si>
  <si>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</si>
  <si>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</si>
  <si>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</si>
  <si>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</si>
  <si>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</si>
  <si>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</si>
  <si>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</si>
  <si>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</si>
  <si>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</si>
  <si>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</si>
  <si>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</si>
  <si>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</si>
  <si>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</si>
  <si>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</si>
  <si>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</si>
  <si>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</si>
  <si>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</si>
  <si>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</si>
  <si>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</si>
  <si>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</si>
  <si>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</si>
  <si>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</si>
  <si>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</si>
  <si>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</si>
  <si>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</si>
  <si>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</si>
  <si>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</si>
  <si>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</si>
  <si>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</si>
  <si>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</si>
  <si>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</si>
  <si>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</si>
  <si>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</si>
  <si>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</si>
  <si>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</si>
  <si>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</si>
  <si>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</si>
  <si>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</si>
  <si>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</si>
  <si>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</si>
  <si>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</si>
  <si>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</si>
  <si>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</si>
  <si>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</si>
  <si>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</si>
  <si>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</si>
  <si>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</si>
  <si>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</si>
  <si>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</si>
  <si>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</si>
  <si>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</si>
  <si>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</si>
  <si>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</si>
  <si>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</si>
  <si>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</si>
  <si>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</si>
  <si>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</si>
  <si>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</si>
  <si>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</si>
  <si>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</si>
  <si>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</si>
  <si>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</si>
  <si>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</si>
  <si>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</si>
  <si>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</si>
  <si>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</si>
  <si>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</si>
  <si>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</si>
  <si>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</si>
  <si>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</si>
  <si>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</si>
  <si>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</si>
  <si>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</si>
  <si>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</si>
  <si>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</si>
  <si>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</si>
  <si>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</si>
  <si>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</si>
  <si>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</si>
  <si>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</si>
  <si>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</si>
  <si>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</si>
  <si>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</si>
  <si>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</si>
  <si>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</si>
  <si>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</si>
  <si>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</si>
  <si>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</si>
  <si>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</si>
  <si>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</si>
  <si>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</si>
  <si>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</si>
  <si>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</si>
  <si>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</si>
  <si>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</si>
  <si>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</si>
  <si>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</si>
  <si>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</si>
  <si>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</si>
  <si>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</si>
  <si>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</si>
  <si>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</si>
  <si>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</si>
  <si>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</si>
  <si>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</si>
  <si>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</si>
  <si>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</si>
  <si>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</si>
  <si>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</si>
  <si>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</si>
  <si>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</si>
  <si>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</si>
  <si>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</si>
  <si>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</si>
  <si>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</si>
  <si>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</si>
  <si>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</si>
  <si>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</si>
  <si>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</si>
  <si>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</si>
  <si>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</si>
  <si>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</si>
  <si>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</si>
  <si>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</si>
  <si>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</si>
  <si>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</si>
  <si>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</si>
  <si>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</si>
  <si>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</si>
  <si>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</si>
  <si>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</si>
  <si>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</si>
  <si>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</si>
  <si>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</si>
  <si>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</si>
  <si>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</si>
  <si>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</si>
  <si>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</si>
  <si>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</si>
  <si>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</si>
  <si>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</si>
  <si>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</si>
  <si>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</si>
  <si>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</si>
  <si>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</si>
  <si>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</si>
  <si>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</si>
  <si>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</si>
  <si>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</si>
  <si>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</si>
  <si>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</si>
  <si>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</si>
  <si>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</si>
  <si>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</si>
  <si>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</si>
  <si>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</si>
  <si>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</si>
  <si>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</si>
  <si>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</si>
  <si>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</si>
  <si>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</si>
  <si>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</si>
  <si>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</si>
  <si>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</si>
  <si>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</si>
  <si>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</si>
  <si>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</si>
  <si>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</si>
  <si>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</si>
  <si>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</si>
  <si>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</si>
  <si>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</si>
  <si>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</si>
  <si>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</si>
  <si>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</si>
  <si>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</si>
  <si>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</si>
  <si>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</si>
  <si>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</si>
  <si>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</si>
  <si>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</si>
  <si>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</si>
  <si>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</si>
  <si>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</si>
  <si>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</si>
  <si>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</si>
  <si>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</si>
  <si>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</si>
  <si>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</si>
  <si>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</si>
  <si>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</si>
  <si>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</si>
  <si>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</si>
  <si>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</si>
  <si>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</si>
  <si>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</si>
  <si>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</si>
  <si>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</si>
  <si>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</si>
  <si>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</si>
  <si>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</si>
  <si>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</si>
  <si>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</si>
  <si>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</si>
  <si>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</si>
  <si>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</si>
  <si>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</si>
  <si>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</si>
  <si>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</si>
  <si>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</si>
  <si>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</si>
  <si>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</si>
  <si>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</si>
  <si>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</si>
  <si>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</si>
  <si>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</si>
  <si>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</si>
  <si>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</si>
  <si>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</si>
  <si>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</si>
  <si>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</si>
  <si>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</si>
  <si>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</si>
  <si>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</si>
  <si>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</si>
  <si>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</si>
  <si>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</si>
  <si>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</si>
  <si>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</si>
  <si>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</si>
  <si>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</si>
  <si>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</si>
  <si>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</si>
  <si>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</si>
  <si>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</si>
  <si>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</si>
  <si>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</si>
  <si>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</si>
  <si>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</si>
  <si>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</si>
  <si>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</si>
  <si>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</si>
  <si>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</si>
  <si>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</si>
  <si>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</si>
  <si>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</si>
  <si>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</si>
  <si>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</si>
  <si>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</si>
  <si>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</si>
  <si>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</si>
  <si>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</si>
  <si>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</si>
  <si>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</si>
  <si>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</si>
  <si>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</si>
  <si>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</si>
  <si>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</si>
  <si>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</si>
  <si>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</si>
  <si>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</si>
  <si>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</si>
  <si>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</si>
  <si>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</si>
  <si>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</si>
  <si>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</si>
  <si>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</si>
  <si>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</si>
  <si>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</si>
  <si>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</si>
  <si>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</si>
  <si>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</si>
  <si>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</si>
  <si>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</si>
  <si>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</si>
  <si>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</si>
  <si>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</si>
  <si>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</si>
  <si>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</si>
  <si>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</si>
  <si>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</si>
  <si>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</si>
  <si>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</si>
  <si>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</si>
  <si>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</si>
  <si>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</si>
  <si>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</si>
  <si>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</si>
  <si>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</si>
  <si>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</si>
  <si>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</si>
  <si>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</si>
  <si>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</si>
  <si>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</si>
  <si>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</si>
  <si>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</si>
  <si>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</si>
  <si>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</si>
  <si>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</si>
  <si>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</si>
  <si>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</si>
  <si>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</si>
  <si>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</si>
  <si>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</si>
  <si>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</si>
  <si>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</si>
  <si>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</si>
  <si>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</si>
  <si>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</si>
  <si>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</si>
  <si>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</si>
  <si>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</si>
  <si>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</si>
  <si>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</si>
  <si>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</si>
  <si>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</si>
  <si>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</si>
  <si>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</si>
  <si>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</si>
  <si>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</si>
  <si>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</si>
  <si>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</si>
  <si>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</si>
  <si>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</si>
  <si>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</si>
  <si>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</si>
  <si>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</si>
  <si>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</si>
  <si>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</si>
  <si>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</si>
  <si>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</si>
  <si>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</si>
  <si>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</si>
  <si>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</si>
  <si>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</si>
  <si>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</si>
  <si>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</si>
  <si>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</si>
  <si>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</si>
  <si>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</si>
  <si>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</si>
  <si>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</si>
  <si>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</si>
  <si>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</si>
  <si>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</si>
  <si>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</si>
  <si>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</si>
  <si>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</si>
  <si>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</si>
  <si>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</si>
  <si>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</si>
  <si>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</si>
  <si>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</si>
  <si>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</si>
  <si>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</si>
  <si>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</si>
  <si>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</si>
  <si>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</si>
  <si>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</si>
  <si>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</si>
  <si>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</si>
  <si>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</si>
  <si>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</si>
  <si>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</si>
  <si>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</si>
  <si>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</si>
  <si>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</si>
  <si>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</si>
  <si>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</si>
  <si>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</si>
  <si>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</si>
  <si>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</si>
  <si>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</si>
  <si>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</si>
  <si>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</si>
  <si>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</si>
  <si>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</si>
  <si>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</si>
  <si>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</si>
  <si>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</si>
  <si>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</si>
  <si>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</si>
  <si>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</si>
  <si>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</si>
  <si>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</si>
  <si>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</si>
  <si>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</si>
  <si>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</si>
  <si>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</si>
  <si>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</si>
  <si>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</si>
  <si>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</si>
  <si>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</si>
  <si>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</si>
  <si>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</si>
  <si>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</si>
  <si>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</si>
  <si>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</si>
  <si>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</si>
  <si>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</si>
  <si>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</si>
  <si>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</si>
  <si>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</si>
  <si>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</si>
  <si>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</si>
  <si>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</si>
  <si>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</si>
  <si>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</si>
  <si>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</si>
  <si>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</si>
  <si>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</si>
  <si>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</si>
  <si>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</si>
  <si>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</si>
  <si>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</si>
  <si>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</si>
  <si>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</si>
  <si>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</si>
  <si>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</si>
  <si>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</si>
  <si>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</si>
  <si>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</si>
  <si>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</si>
  <si>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</si>
  <si>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</si>
  <si>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</si>
  <si>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</si>
  <si>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</si>
  <si>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</si>
  <si>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</si>
  <si>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</si>
  <si>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</si>
  <si>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</si>
  <si>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</si>
  <si>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</si>
  <si>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</si>
  <si>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</si>
  <si>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</si>
  <si>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</si>
  <si>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</si>
  <si>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</si>
  <si>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</si>
  <si>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</si>
  <si>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</si>
  <si>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</si>
  <si>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</si>
  <si>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</si>
  <si>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</si>
  <si>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</si>
  <si>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</si>
  <si>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</si>
  <si>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</si>
  <si>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</si>
  <si>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</si>
  <si>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</si>
  <si>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</si>
  <si>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</si>
  <si>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</si>
  <si>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</si>
  <si>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</si>
  <si>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</si>
  <si>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</si>
  <si>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</si>
  <si>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</si>
  <si>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</si>
  <si>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</si>
  <si>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</si>
  <si>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</si>
  <si>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</si>
  <si>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</si>
  <si>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</si>
  <si>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</si>
  <si>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</si>
  <si>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</si>
  <si>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</si>
  <si>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</si>
  <si>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</si>
  <si>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</si>
  <si>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</si>
  <si>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</si>
  <si>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</si>
  <si>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</si>
  <si>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</si>
  <si>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</si>
  <si>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</si>
  <si>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</si>
  <si>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</si>
  <si>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</si>
  <si>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</si>
  <si>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</si>
  <si>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</si>
  <si>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</si>
  <si>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</si>
  <si>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</si>
  <si>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</si>
  <si>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</si>
  <si>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</si>
  <si>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</si>
  <si>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</si>
  <si>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</si>
  <si>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</si>
  <si>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</si>
  <si>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</si>
  <si>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</si>
  <si>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</si>
  <si>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</si>
  <si>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</si>
  <si>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</si>
  <si>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</si>
  <si>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</si>
  <si>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</si>
  <si>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</si>
  <si>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</si>
  <si>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</si>
  <si>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</si>
  <si>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</si>
  <si>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</si>
  <si>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</si>
  <si>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</si>
  <si>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</si>
  <si>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</si>
  <si>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</si>
  <si>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</si>
  <si>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</si>
  <si>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</si>
  <si>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</si>
  <si>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</si>
  <si>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</si>
  <si>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</si>
  <si>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</si>
  <si>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</si>
  <si>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</si>
  <si>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</si>
  <si>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</si>
  <si>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</si>
  <si>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</si>
  <si>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</si>
  <si>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</si>
  <si>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</si>
  <si>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</si>
  <si>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</si>
  <si>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</si>
  <si>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</si>
  <si>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</si>
  <si>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</si>
  <si>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</si>
  <si>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</si>
  <si>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</si>
  <si>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</si>
  <si>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</si>
  <si>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</si>
  <si>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</si>
  <si>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</si>
  <si>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</si>
  <si>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</si>
  <si>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</si>
  <si>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</si>
  <si>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</si>
  <si>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</si>
  <si>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</si>
  <si>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</si>
  <si>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</si>
  <si>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</si>
  <si>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</si>
  <si>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</si>
  <si>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</si>
  <si>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</si>
  <si>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</si>
  <si>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</si>
  <si>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</si>
  <si>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</si>
  <si>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</si>
  <si>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</si>
  <si>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</si>
  <si>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</si>
  <si>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</si>
  <si>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</si>
  <si>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</si>
  <si>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</si>
  <si>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</si>
  <si>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</si>
  <si>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</si>
  <si>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</si>
  <si>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</si>
  <si>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</si>
  <si>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</si>
  <si>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</si>
  <si>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</si>
  <si>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</si>
  <si>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</si>
  <si>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</si>
  <si>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</si>
  <si>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</si>
  <si>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</si>
  <si>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</si>
  <si>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</si>
  <si>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</si>
  <si>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</si>
  <si>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</si>
  <si>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</si>
  <si>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</si>
  <si>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</si>
  <si>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</si>
  <si>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</si>
  <si>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</si>
  <si>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</si>
  <si>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</si>
  <si>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</si>
  <si>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</si>
  <si>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</si>
  <si>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</si>
  <si>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</si>
  <si>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</si>
  <si>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</si>
  <si>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</si>
  <si>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</si>
  <si>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</si>
  <si>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</si>
  <si>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</si>
  <si>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</si>
  <si>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</si>
  <si>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</si>
  <si>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</si>
  <si>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</si>
  <si>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</si>
  <si>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</si>
  <si>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</si>
  <si>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</si>
  <si>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</si>
  <si>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</si>
  <si>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</si>
  <si>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</si>
  <si>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</si>
  <si>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</si>
  <si>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</si>
  <si>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</si>
  <si>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</si>
  <si>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</si>
  <si>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</si>
  <si>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</si>
  <si>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</si>
  <si>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</si>
  <si>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</si>
  <si>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</si>
  <si>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</si>
  <si>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</si>
  <si>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</si>
  <si>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</si>
  <si>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</si>
  <si>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</si>
  <si>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</si>
  <si>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</si>
  <si>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</si>
  <si>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</si>
  <si>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</si>
  <si>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</si>
  <si>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</si>
  <si>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</si>
  <si>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</si>
  <si>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</si>
  <si>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</si>
  <si>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</si>
  <si>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</si>
  <si>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</si>
  <si>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</si>
  <si>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</si>
  <si>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</si>
  <si>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</si>
  <si>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</si>
  <si>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</si>
  <si>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</si>
  <si>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</si>
  <si>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</si>
  <si>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</si>
  <si>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</si>
  <si>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</si>
  <si>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</si>
  <si>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</si>
  <si>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</si>
  <si>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</si>
  <si>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</si>
  <si>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</si>
  <si>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</si>
  <si>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</si>
  <si>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</si>
  <si>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</si>
  <si>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</si>
  <si>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</si>
  <si>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</si>
  <si>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</si>
  <si>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</si>
  <si>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</si>
  <si>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</si>
  <si>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</si>
  <si>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</si>
  <si>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</si>
  <si>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</si>
  <si>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</si>
  <si>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</si>
  <si>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</si>
  <si>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</si>
  <si>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</si>
  <si>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</si>
  <si>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</si>
  <si>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</si>
  <si>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</si>
  <si>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</si>
  <si>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</si>
  <si>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</si>
  <si>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</si>
  <si>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</si>
  <si>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</si>
  <si>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</si>
  <si>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</si>
  <si>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</si>
  <si>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</si>
  <si>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</si>
  <si>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</si>
  <si>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</si>
  <si>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</si>
  <si>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</si>
  <si>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</si>
  <si>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</si>
  <si>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</si>
  <si>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</si>
  <si>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</si>
  <si>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</si>
  <si>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</si>
  <si>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</si>
  <si>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</si>
  <si>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</si>
  <si>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</si>
  <si>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</si>
  <si>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</si>
  <si>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</si>
  <si>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</si>
  <si>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</si>
  <si>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</si>
  <si>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</si>
  <si>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</si>
  <si>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</si>
  <si>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</si>
  <si>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</si>
  <si>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</si>
  <si>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</si>
  <si>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</si>
  <si>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</si>
  <si>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</si>
  <si>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</si>
  <si>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</si>
  <si>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</si>
  <si>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</si>
  <si>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</si>
  <si>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</si>
  <si>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</si>
  <si>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</si>
  <si>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</si>
  <si>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</si>
  <si>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</si>
  <si>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</si>
  <si>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</si>
  <si>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</si>
  <si>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</si>
  <si>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</si>
  <si>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</si>
  <si>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</si>
  <si>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</si>
  <si>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</si>
  <si>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</si>
  <si>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</si>
  <si>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</si>
  <si>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</si>
  <si>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</si>
  <si>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</si>
  <si>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</si>
  <si>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</si>
  <si>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</si>
  <si>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</si>
  <si>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</si>
  <si>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</si>
  <si>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</si>
  <si>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</si>
  <si>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</si>
  <si>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</si>
  <si>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</si>
  <si>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</si>
  <si>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</si>
  <si>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</si>
  <si>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</si>
  <si>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</si>
  <si>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</si>
  <si>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</si>
  <si>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</si>
  <si>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</si>
  <si>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</si>
  <si>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</si>
  <si>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</si>
  <si>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</si>
  <si>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</si>
  <si>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</si>
  <si>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</si>
  <si>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</si>
  <si>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</si>
  <si>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</si>
  <si>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</si>
  <si>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</si>
  <si>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</si>
  <si>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</si>
  <si>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</si>
  <si>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</si>
  <si>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</si>
  <si>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</si>
  <si>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</si>
  <si>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</si>
  <si>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</si>
  <si>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</si>
  <si>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</si>
  <si>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</si>
  <si>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</si>
  <si>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</si>
  <si>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</si>
  <si>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</si>
  <si>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</si>
  <si>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</si>
  <si>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</si>
  <si>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</si>
  <si>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</si>
  <si>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</si>
  <si>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</si>
  <si>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</si>
  <si>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</si>
  <si>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</si>
  <si>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</si>
  <si>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</si>
  <si>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</si>
  <si>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</si>
  <si>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</si>
  <si>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</si>
  <si>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</si>
  <si>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</si>
  <si>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</si>
  <si>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</si>
  <si>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</si>
  <si>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</si>
  <si>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</si>
  <si>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</si>
  <si>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</si>
  <si>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</si>
  <si>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</si>
  <si>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</si>
  <si>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</si>
  <si>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</si>
  <si>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</si>
  <si>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</si>
  <si>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</si>
  <si>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</si>
  <si>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</si>
  <si>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</si>
  <si>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</si>
  <si>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</si>
  <si>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</si>
  <si>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</si>
  <si>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</si>
  <si>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</si>
  <si>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</si>
  <si>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</si>
  <si>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</si>
  <si>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</si>
  <si>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</si>
  <si>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</si>
  <si>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</si>
  <si>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</si>
  <si>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</si>
  <si>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</si>
  <si>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</si>
  <si>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</si>
  <si>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</si>
  <si>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</si>
  <si>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</si>
  <si>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</si>
  <si>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</si>
  <si>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</si>
  <si>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</si>
  <si>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</si>
  <si>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</si>
  <si>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</si>
  <si>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</si>
  <si>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</si>
  <si>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</si>
  <si>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</si>
  <si>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</si>
  <si>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</si>
  <si>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</si>
  <si>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</si>
  <si>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</si>
  <si>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</si>
  <si>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</si>
  <si>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</si>
  <si>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</si>
  <si>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</si>
  <si>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</si>
  <si>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</si>
  <si>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</si>
  <si>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</si>
  <si>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</si>
  <si>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</si>
  <si>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</si>
  <si>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</si>
  <si>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</si>
  <si>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</si>
  <si>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</si>
  <si>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</si>
  <si>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</si>
  <si>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</si>
  <si>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</si>
  <si>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</si>
  <si>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</si>
  <si>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</si>
  <si>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</si>
  <si>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</si>
  <si>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</si>
  <si>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</si>
  <si>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</si>
  <si>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</si>
  <si>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</si>
  <si>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</si>
  <si>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</si>
  <si>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</si>
  <si>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</si>
  <si>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</si>
  <si>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</si>
  <si>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</si>
  <si>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</si>
  <si>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</si>
  <si>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</si>
  <si>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</si>
  <si>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</si>
  <si>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</si>
  <si>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</si>
  <si>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</si>
  <si>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</si>
  <si>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</si>
  <si>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</si>
  <si>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</si>
  <si>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</si>
  <si>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</si>
  <si>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</si>
  <si>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</si>
  <si>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</si>
  <si>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</si>
  <si>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</si>
  <si>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</si>
  <si>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</si>
  <si>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</si>
  <si>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</si>
  <si>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</si>
  <si>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</si>
  <si>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</si>
  <si>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</si>
  <si>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</si>
  <si>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</si>
  <si>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</si>
  <si>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</si>
  <si>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</si>
  <si>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</si>
  <si>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</si>
  <si>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</si>
  <si>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</si>
  <si>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</si>
  <si>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</si>
  <si>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</si>
  <si>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</si>
  <si>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</si>
  <si>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</si>
  <si>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</si>
  <si>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</si>
  <si>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</si>
  <si>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</si>
  <si>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</si>
  <si>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</si>
  <si>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</si>
  <si>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</si>
  <si>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</si>
  <si>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</si>
  <si>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</si>
  <si>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</si>
  <si>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</si>
  <si>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</si>
  <si>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</si>
  <si>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</si>
  <si>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</si>
  <si>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</si>
  <si>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</si>
  <si>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</si>
  <si>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</si>
  <si>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</si>
  <si>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</si>
  <si>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</si>
  <si>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</si>
  <si>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</si>
  <si>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</si>
  <si>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</si>
  <si>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</si>
  <si>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</si>
  <si>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</si>
  <si>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</si>
  <si>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</si>
  <si>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</si>
  <si>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</si>
  <si>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</si>
  <si>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</si>
  <si>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</si>
  <si>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</si>
  <si>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</si>
  <si>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</si>
  <si>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</si>
  <si>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</si>
  <si>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</si>
  <si>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</si>
  <si>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</si>
  <si>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</si>
  <si>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</si>
  <si>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</si>
  <si>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</si>
  <si>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</si>
  <si>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</si>
  <si>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</si>
  <si>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</si>
  <si>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</si>
  <si>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</si>
  <si>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</si>
  <si>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</si>
  <si>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</si>
  <si>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</si>
  <si>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</si>
  <si>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</si>
  <si>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</si>
  <si>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</si>
  <si>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</si>
  <si>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</si>
  <si>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</si>
  <si>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</si>
  <si>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</si>
  <si>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</si>
  <si>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</si>
  <si>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</si>
  <si>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</si>
  <si>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</si>
  <si>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</si>
  <si>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</si>
  <si>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</si>
  <si>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</si>
  <si>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</si>
  <si>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</si>
  <si>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</si>
  <si>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</si>
  <si>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</si>
  <si>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</si>
  <si>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</si>
  <si>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</si>
  <si>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</si>
  <si>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</si>
  <si>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</si>
  <si>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</si>
  <si>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</si>
  <si>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</si>
  <si>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</si>
  <si>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</si>
  <si>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</si>
  <si>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</si>
  <si>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</si>
  <si>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</si>
  <si>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</si>
  <si>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</si>
  <si>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</si>
  <si>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</si>
  <si>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</si>
  <si>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</si>
  <si>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</si>
  <si>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</si>
  <si>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</si>
  <si>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</si>
  <si>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</si>
  <si>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</si>
  <si>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</si>
  <si>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</si>
  <si>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</si>
  <si>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</si>
  <si>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</si>
  <si>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</si>
  <si>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</si>
  <si>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</si>
  <si>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</si>
  <si>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</si>
  <si>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</si>
  <si>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</si>
  <si>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</si>
  <si>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</si>
  <si>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</si>
  <si>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</si>
  <si>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</si>
  <si>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</si>
  <si>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</si>
  <si>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</si>
  <si>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</si>
  <si>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</si>
  <si>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</si>
  <si>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</si>
  <si>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</si>
  <si>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</si>
  <si>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</si>
  <si>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</si>
  <si>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</si>
  <si>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</si>
  <si>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</si>
  <si>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</si>
  <si>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</si>
  <si>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</si>
  <si>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</si>
  <si>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</si>
  <si>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</si>
  <si>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</si>
  <si>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</si>
  <si>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</si>
  <si>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</si>
  <si>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</si>
  <si>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</si>
  <si>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</si>
  <si>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</si>
  <si>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</si>
  <si>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</si>
  <si>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</si>
  <si>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</si>
  <si>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</si>
  <si>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</si>
  <si>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</si>
  <si>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</si>
  <si>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</si>
  <si>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</si>
  <si>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</si>
  <si>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</si>
  <si>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</si>
  <si>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</si>
  <si>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</si>
  <si>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</si>
  <si>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</si>
  <si>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</si>
  <si>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</si>
  <si>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</si>
  <si>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</si>
  <si>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</si>
  <si>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</si>
  <si>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</si>
  <si>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</si>
  <si>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</si>
  <si>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</si>
  <si>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</si>
  <si>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</si>
  <si>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</si>
  <si>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</si>
  <si>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</si>
  <si>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</si>
  <si>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</si>
  <si>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</si>
  <si>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</si>
  <si>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</si>
  <si>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</si>
  <si>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</si>
  <si>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</si>
  <si>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</si>
  <si>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</si>
  <si>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</si>
  <si>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</si>
  <si>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</si>
  <si>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</si>
  <si>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</si>
  <si>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</si>
  <si>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</si>
  <si>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</si>
  <si>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</si>
  <si>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</si>
  <si>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</si>
  <si>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</si>
  <si>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</si>
  <si>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</si>
  <si>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</si>
  <si>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</si>
  <si>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</si>
  <si>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</si>
  <si>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</si>
  <si>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</si>
  <si>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</si>
  <si>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</si>
  <si>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</si>
  <si>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</si>
  <si>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</si>
  <si>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</si>
  <si>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</si>
  <si>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</si>
  <si>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</si>
  <si>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</si>
  <si>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</si>
  <si>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</si>
  <si>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</si>
  <si>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</si>
  <si>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</si>
  <si>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</si>
  <si>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</si>
  <si>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</si>
  <si>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</si>
  <si>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</si>
  <si>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</si>
  <si>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</si>
  <si>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</si>
  <si>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</si>
  <si>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</si>
  <si>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</si>
  <si>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</si>
  <si>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</si>
  <si>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</si>
  <si>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</si>
  <si>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</si>
  <si>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</si>
  <si>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</si>
  <si>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</si>
  <si>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</si>
  <si>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</si>
  <si>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</si>
  <si>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</si>
  <si>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</si>
  <si>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</si>
  <si>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</si>
  <si>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</si>
  <si>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</si>
  <si>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</si>
  <si>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</si>
  <si>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</si>
  <si>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</si>
  <si>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</si>
  <si>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</si>
  <si>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</si>
  <si>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</si>
  <si>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</si>
  <si>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</si>
  <si>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</si>
  <si>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</si>
  <si>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</si>
  <si>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</si>
  <si>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</si>
  <si>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</si>
  <si>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</si>
  <si>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</si>
  <si>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</si>
  <si>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</si>
  <si>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</si>
  <si>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</si>
  <si>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</si>
  <si>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</si>
  <si>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</si>
  <si>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</si>
  <si>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</si>
  <si>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</si>
  <si>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</si>
  <si>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</si>
  <si>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</si>
  <si>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</si>
  <si>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</si>
  <si>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</si>
  <si>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</si>
  <si>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</si>
  <si>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</si>
  <si>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</si>
  <si>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</si>
  <si>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</si>
  <si>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</si>
  <si>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</si>
  <si>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</si>
  <si>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</si>
  <si>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</si>
  <si>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</si>
  <si>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</si>
  <si>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</si>
  <si>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</si>
  <si>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</si>
  <si>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</si>
  <si>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</si>
  <si>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</si>
  <si>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</si>
  <si>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</si>
  <si>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</si>
  <si>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</si>
  <si>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</si>
  <si>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</si>
  <si>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</si>
  <si>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</si>
  <si>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</si>
  <si>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</si>
  <si>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</si>
  <si>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</si>
  <si>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</si>
  <si>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</si>
  <si>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</si>
  <si>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</si>
  <si>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</si>
  <si>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</si>
  <si>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</si>
  <si>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</si>
  <si>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</si>
  <si>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</si>
  <si>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</si>
  <si>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</si>
  <si>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</si>
  <si>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</si>
  <si>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</si>
  <si>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</si>
  <si>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</si>
  <si>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</si>
  <si>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</si>
  <si>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</si>
  <si>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</si>
  <si>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</si>
  <si>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</si>
  <si>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</si>
  <si>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</si>
  <si>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</si>
  <si>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</si>
  <si>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</si>
  <si>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</si>
  <si>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</si>
  <si>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</si>
  <si>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</si>
  <si>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</si>
  <si>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</si>
  <si>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</si>
  <si>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</si>
  <si>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</si>
  <si>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</si>
  <si>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</si>
  <si>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</si>
  <si>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</si>
  <si>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</si>
  <si>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</si>
  <si>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</si>
  <si>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</si>
  <si>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</si>
  <si>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</si>
  <si>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</si>
  <si>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</si>
  <si>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</si>
  <si>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</si>
  <si>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</si>
  <si>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</si>
  <si>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</si>
  <si>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</si>
  <si>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</si>
  <si>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</si>
  <si>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</si>
  <si>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</si>
  <si>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</si>
  <si>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</si>
  <si>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</si>
  <si>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</si>
  <si>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</si>
  <si>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</si>
  <si>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</si>
  <si>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</si>
  <si>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</si>
  <si>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</si>
  <si>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</si>
  <si>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</si>
  <si>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</si>
  <si>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</si>
  <si>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</si>
  <si>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</si>
  <si>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</si>
  <si>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</si>
  <si>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</si>
  <si>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</si>
  <si>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</si>
  <si>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</si>
  <si>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</si>
  <si>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</si>
  <si>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</si>
  <si>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</si>
  <si>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</si>
  <si>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</si>
  <si>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</si>
  <si>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</si>
  <si>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</si>
  <si>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</si>
  <si>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</si>
  <si>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</si>
  <si>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</si>
  <si>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</si>
  <si>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</si>
  <si>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</si>
  <si>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</si>
  <si>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</si>
  <si>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</si>
  <si>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</si>
  <si>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</si>
  <si>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</si>
  <si>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</si>
  <si>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</si>
  <si>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</si>
  <si>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</si>
  <si>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</si>
  <si>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</si>
  <si>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</si>
  <si>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</si>
  <si>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</si>
  <si>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</si>
  <si>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</si>
  <si>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</si>
  <si>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</si>
  <si>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</si>
  <si>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</si>
  <si>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</si>
  <si>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</si>
  <si>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</si>
  <si>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</si>
  <si>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</si>
  <si>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</si>
  <si>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</si>
  <si>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</si>
  <si>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</si>
  <si>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</si>
  <si>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</si>
  <si>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</si>
  <si>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</si>
  <si>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</si>
  <si>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</si>
  <si>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</si>
  <si>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</si>
  <si>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</si>
  <si>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</si>
  <si>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</si>
  <si>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</si>
  <si>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</si>
  <si>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</si>
  <si>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</si>
  <si>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</si>
  <si>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</si>
  <si>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</si>
  <si>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</si>
  <si>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</si>
  <si>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</si>
  <si>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</si>
  <si>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</si>
  <si>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</si>
  <si>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</si>
  <si>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</si>
  <si>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</si>
  <si>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</si>
  <si>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</si>
  <si>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</si>
  <si>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</si>
  <si>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</si>
  <si>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</si>
  <si>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</si>
  <si>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</si>
  <si>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</si>
  <si>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</si>
  <si>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</si>
  <si>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</si>
  <si>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</si>
  <si>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</si>
  <si>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</si>
  <si>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</si>
  <si>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</si>
  <si>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</si>
  <si>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</si>
  <si>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</si>
  <si>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</si>
  <si>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</si>
  <si>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</si>
  <si>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</si>
  <si>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</si>
  <si>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</si>
  <si>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</si>
  <si>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</si>
  <si>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</si>
  <si>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</si>
  <si>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</si>
  <si>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</si>
  <si>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</si>
  <si>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</si>
  <si>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</si>
  <si>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</si>
  <si>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</si>
  <si>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</si>
  <si>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</si>
  <si>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</si>
  <si>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</si>
  <si>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</si>
  <si>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</si>
  <si>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</si>
  <si>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</si>
  <si>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</si>
  <si>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</si>
  <si>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</si>
  <si>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</si>
  <si>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</si>
  <si>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</si>
  <si>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</si>
  <si>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</si>
  <si>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</si>
  <si>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</si>
  <si>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</si>
  <si>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</si>
  <si>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</si>
  <si>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</si>
  <si>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</si>
  <si>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</si>
  <si>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</si>
  <si>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</si>
  <si>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</si>
  <si>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</si>
  <si>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</si>
  <si>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</si>
  <si>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</si>
  <si>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</si>
  <si>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</si>
  <si>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</si>
  <si>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</si>
  <si>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</si>
  <si>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</si>
  <si>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</si>
  <si>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</si>
  <si>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</si>
  <si>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</si>
  <si>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</si>
  <si>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</si>
  <si>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</si>
  <si>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</si>
  <si>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</si>
  <si>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</si>
  <si>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</si>
  <si>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</si>
  <si>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</si>
  <si>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</si>
  <si>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</si>
  <si>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</si>
  <si>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</si>
  <si>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</si>
  <si>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</si>
  <si>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</si>
  <si>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</si>
  <si>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</si>
  <si>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</si>
  <si>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</si>
  <si>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</si>
  <si>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</si>
  <si>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</si>
  <si>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</si>
  <si>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</si>
  <si>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</si>
  <si>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</si>
  <si>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</si>
  <si>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</si>
  <si>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</si>
  <si>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</si>
  <si>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</si>
  <si>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</si>
  <si>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</si>
  <si>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</si>
  <si>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</si>
  <si>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</si>
  <si>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</si>
  <si>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</si>
  <si>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</si>
  <si>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</si>
  <si>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</si>
  <si>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</si>
  <si>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</si>
  <si>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</si>
  <si>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</si>
  <si>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</si>
  <si>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</si>
  <si>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</si>
  <si>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</si>
  <si>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</si>
  <si>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</si>
  <si>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</si>
  <si>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</si>
  <si>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</si>
  <si>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</si>
  <si>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</si>
  <si>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</si>
  <si>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</si>
  <si>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</si>
  <si>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</si>
  <si>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</si>
  <si>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</si>
  <si>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</si>
  <si>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</si>
  <si>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</si>
  <si>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</si>
  <si>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</si>
  <si>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</si>
  <si>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</si>
  <si>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</si>
  <si>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</si>
  <si>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</si>
  <si>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</si>
  <si>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</si>
  <si>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</si>
  <si>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</si>
  <si>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</si>
  <si>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</si>
  <si>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</si>
  <si>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</si>
  <si>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</si>
  <si>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</si>
  <si>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</si>
  <si>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</si>
  <si>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</si>
  <si>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</si>
  <si>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</si>
  <si>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</si>
  <si>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</si>
  <si>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</si>
  <si>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</si>
  <si>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</si>
  <si>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</si>
  <si>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</si>
  <si>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</si>
  <si>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</si>
  <si>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</si>
  <si>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</si>
  <si>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</si>
  <si>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</si>
  <si>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</si>
  <si>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</si>
  <si>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</si>
  <si>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</si>
  <si>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</si>
  <si>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</si>
  <si>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</si>
  <si>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</si>
  <si>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</si>
  <si>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</si>
  <si>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</si>
  <si>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</si>
  <si>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</si>
  <si>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</si>
  <si>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</si>
  <si>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</si>
  <si>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</si>
  <si>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</si>
  <si>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</si>
  <si>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</si>
  <si>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</si>
  <si>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</si>
  <si>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</si>
  <si>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</si>
  <si>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</si>
  <si>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</si>
  <si>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</si>
  <si>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</si>
  <si>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</si>
  <si>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</si>
  <si>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</si>
  <si>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</si>
  <si>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</si>
  <si>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</si>
  <si>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</si>
  <si>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</si>
  <si>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</si>
  <si>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</si>
  <si>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</si>
  <si>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</si>
  <si>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</si>
  <si>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</si>
  <si>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</si>
  <si>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</si>
  <si>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</si>
  <si>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</si>
  <si>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</si>
  <si>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</si>
  <si>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</si>
  <si>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</si>
  <si>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</si>
  <si>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</si>
  <si>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</si>
  <si>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</si>
  <si>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</si>
  <si>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</si>
  <si>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</si>
  <si>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</si>
  <si>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</si>
  <si>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</si>
  <si>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</si>
  <si>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</si>
  <si>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</si>
  <si>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</si>
  <si>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</si>
  <si>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</si>
  <si>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</si>
  <si>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</si>
  <si>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</si>
  <si>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</si>
  <si>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</si>
  <si>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</si>
  <si>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</si>
  <si>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</si>
  <si>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</si>
  <si>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</si>
  <si>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</si>
  <si>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</si>
  <si>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</si>
  <si>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</si>
  <si>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</si>
  <si>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</si>
  <si>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</si>
  <si>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</si>
  <si>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</si>
  <si>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</si>
  <si>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</si>
  <si>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</si>
  <si>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</si>
  <si>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</si>
  <si>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</si>
  <si>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</si>
  <si>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</si>
  <si>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</si>
  <si>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</si>
  <si>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</si>
  <si>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</si>
  <si>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</si>
  <si>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</si>
  <si>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</si>
  <si>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</si>
  <si>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</si>
  <si>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</si>
  <si>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</si>
  <si>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</si>
  <si>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</si>
  <si>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</si>
  <si>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</si>
  <si>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</si>
  <si>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</si>
  <si>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</si>
  <si>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</si>
  <si>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</si>
  <si>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</si>
  <si>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</si>
  <si>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</si>
  <si>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</si>
  <si>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</si>
  <si>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</si>
  <si>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</si>
  <si>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</si>
  <si>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</si>
  <si>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</si>
  <si>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</si>
  <si>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</si>
  <si>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</si>
  <si>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</si>
  <si>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</si>
  <si>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</si>
  <si>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</si>
  <si>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</si>
  <si>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</si>
  <si>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</si>
  <si>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</si>
  <si>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</si>
  <si>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</si>
  <si>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</si>
  <si>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</si>
  <si>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</si>
  <si>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</si>
  <si>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</si>
  <si>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</si>
  <si>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</si>
  <si>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</si>
  <si>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</si>
  <si>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</si>
  <si>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</si>
  <si>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</si>
  <si>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</si>
  <si>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</si>
  <si>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</si>
  <si>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</si>
  <si>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</si>
  <si>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</si>
  <si>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</si>
  <si>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</si>
  <si>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</si>
  <si>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</si>
  <si>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</si>
  <si>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</si>
  <si>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</si>
  <si>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</si>
  <si>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</si>
  <si>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</si>
  <si>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</si>
  <si>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</si>
  <si>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</si>
  <si>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</si>
  <si>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</si>
  <si>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</si>
  <si>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</si>
  <si>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</si>
  <si>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</si>
  <si>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</si>
  <si>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</si>
  <si>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</si>
  <si>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</si>
  <si>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</si>
  <si>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</si>
  <si>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</si>
  <si>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</si>
  <si>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</si>
  <si>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</si>
  <si>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</si>
  <si>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</si>
  <si>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</si>
  <si>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</si>
  <si>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</si>
  <si>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</si>
  <si>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</si>
  <si>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</si>
  <si>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</si>
  <si>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</si>
  <si>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</si>
  <si>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</si>
  <si>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</si>
  <si>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</si>
  <si>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</si>
  <si>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</si>
  <si>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</si>
  <si>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</si>
  <si>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</si>
  <si>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</si>
  <si>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</si>
  <si>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</si>
  <si>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</si>
  <si>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</si>
  <si>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</si>
  <si>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</si>
  <si>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</si>
  <si>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</si>
  <si>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</si>
  <si>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</si>
  <si>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</si>
  <si>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</si>
  <si>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</si>
  <si>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</si>
  <si>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</si>
  <si>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</si>
  <si>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</si>
  <si>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</si>
  <si>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</si>
  <si>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</si>
  <si>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</si>
  <si>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</si>
  <si>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</si>
  <si>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</si>
  <si>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</si>
  <si>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</si>
  <si>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</si>
  <si>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</si>
  <si>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</si>
  <si>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</si>
  <si>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</si>
  <si>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</si>
  <si>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</si>
  <si>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</si>
  <si>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</si>
  <si>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</si>
  <si>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</si>
  <si>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</si>
  <si>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</si>
  <si>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</si>
  <si>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</si>
  <si>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</si>
  <si>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</si>
  <si>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</si>
  <si>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</si>
  <si>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</si>
  <si>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</si>
  <si>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</si>
  <si>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</si>
  <si>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</si>
  <si>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</si>
  <si>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</si>
  <si>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</si>
  <si>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</si>
  <si>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</si>
  <si>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</si>
  <si>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</si>
  <si>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</si>
  <si>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</si>
  <si>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</si>
  <si>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</si>
  <si>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</si>
  <si>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</si>
  <si>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</si>
  <si>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</si>
  <si>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</si>
  <si>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</si>
  <si>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</si>
  <si>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</si>
  <si>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</si>
  <si>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</si>
  <si>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</si>
  <si>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</si>
  <si>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</si>
  <si>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</si>
  <si>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</si>
  <si>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</si>
  <si>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</si>
  <si>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</si>
  <si>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</si>
  <si>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</si>
  <si>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</si>
  <si>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</si>
  <si>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</si>
  <si>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</si>
  <si>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</si>
  <si>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</si>
  <si>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</si>
  <si>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</si>
  <si>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</si>
  <si>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</si>
  <si>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</si>
  <si>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</si>
  <si>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</si>
  <si>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</si>
  <si>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</si>
  <si>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</si>
  <si>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</si>
  <si>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</si>
  <si>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</si>
  <si>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</si>
  <si>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</si>
  <si>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</si>
  <si>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</si>
  <si>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</si>
  <si>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</si>
  <si>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</si>
  <si>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</si>
  <si>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</si>
  <si>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</si>
  <si>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</si>
  <si>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</si>
  <si>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</si>
  <si>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</si>
  <si>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</si>
  <si>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</si>
  <si>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</si>
  <si>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</si>
  <si>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</si>
  <si>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</si>
  <si>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</si>
  <si>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</si>
  <si>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</si>
  <si>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</si>
  <si>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</si>
  <si>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</si>
  <si>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</si>
  <si>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</si>
  <si>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</si>
  <si>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</si>
  <si>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</si>
  <si>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</si>
  <si>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</si>
  <si>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</si>
  <si>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</si>
  <si>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</si>
  <si>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</si>
  <si>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</si>
  <si>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</si>
  <si>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</si>
  <si>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</si>
  <si>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</si>
  <si>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</si>
  <si>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</si>
  <si>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</si>
  <si>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</si>
  <si>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</si>
  <si>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</si>
  <si>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</si>
  <si>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</si>
  <si>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</si>
  <si>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</si>
  <si>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</si>
  <si>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</si>
  <si>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</si>
  <si>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</si>
  <si>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</si>
  <si>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</si>
  <si>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</si>
  <si>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</si>
  <si>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</si>
  <si>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</si>
  <si>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</si>
  <si>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</si>
  <si>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</si>
  <si>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</si>
  <si>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</si>
  <si>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</si>
  <si>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</si>
  <si>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</si>
  <si>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</si>
  <si>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</si>
  <si>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</si>
  <si>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</si>
  <si>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</si>
  <si>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</si>
  <si>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</si>
  <si>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</si>
  <si>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</si>
  <si>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</si>
  <si>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</si>
  <si>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</si>
  <si>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</si>
  <si>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</si>
  <si>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</si>
  <si>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</si>
  <si>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</si>
  <si>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</si>
  <si>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</si>
  <si>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</si>
  <si>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</si>
  <si>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</si>
  <si>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</si>
  <si>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</si>
  <si>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</si>
  <si>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</si>
  <si>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</si>
  <si>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</si>
  <si>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</si>
  <si>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</si>
  <si>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</si>
  <si>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</si>
  <si>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</si>
  <si>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</si>
  <si>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</si>
  <si>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</si>
  <si>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</si>
  <si>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</si>
  <si>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</si>
  <si>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</si>
  <si>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</si>
  <si>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</si>
  <si>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</si>
  <si>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</si>
  <si>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</si>
  <si>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</si>
  <si>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</si>
  <si>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</si>
  <si>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</si>
  <si>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</si>
  <si>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</si>
  <si>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</si>
  <si>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</si>
  <si>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</si>
  <si>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</si>
  <si>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</si>
  <si>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</si>
  <si>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</si>
  <si>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</si>
  <si>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</si>
  <si>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</si>
  <si>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</si>
  <si>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</si>
  <si>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</si>
  <si>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</si>
  <si>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</si>
  <si>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</si>
  <si>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</si>
  <si>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</si>
  <si>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</si>
  <si>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</si>
  <si>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</si>
  <si>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</si>
  <si>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</si>
  <si>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</si>
  <si>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</si>
  <si>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</si>
  <si>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</si>
  <si>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</si>
  <si>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</si>
  <si>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</si>
  <si>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</si>
  <si>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</si>
  <si>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</si>
  <si>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</si>
  <si>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</si>
  <si>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</si>
  <si>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</si>
  <si>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</si>
  <si>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</si>
  <si>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</si>
  <si>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</si>
  <si>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</si>
  <si>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</si>
  <si>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</si>
  <si>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</si>
  <si>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</si>
  <si>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</si>
  <si>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</si>
  <si>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</si>
  <si>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</si>
  <si>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</si>
  <si>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</si>
  <si>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</si>
  <si>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</si>
  <si>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</si>
  <si>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</si>
  <si>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</si>
  <si>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</si>
  <si>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</si>
  <si>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</si>
  <si>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</si>
  <si>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</si>
  <si>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</si>
  <si>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</si>
  <si>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</si>
  <si>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</si>
  <si>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</si>
  <si>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</si>
  <si>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</si>
  <si>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</si>
  <si>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</si>
  <si>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</si>
  <si>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</si>
  <si>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</si>
  <si>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</si>
  <si>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</si>
  <si>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</si>
  <si>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</si>
  <si>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</si>
  <si>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</si>
  <si>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</si>
  <si>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Mercy Housing California 91, L.P.</t>
  </si>
  <si>
    <t>City of Oakland</t>
  </si>
  <si>
    <t>Michele Byrd</t>
  </si>
  <si>
    <t>250 Frank Ogawa Plaza Suite 6301</t>
  </si>
  <si>
    <t>Oakland</t>
  </si>
  <si>
    <t>510-238-2087</t>
  </si>
  <si>
    <t>510-238-3714</t>
  </si>
  <si>
    <t>mbyrd@oakland.net</t>
  </si>
  <si>
    <t>2125 Telegraph Avenue</t>
  </si>
  <si>
    <t>The Eliza</t>
  </si>
  <si>
    <t>008-0647-001</t>
  </si>
  <si>
    <t>40%/60%</t>
  </si>
  <si>
    <t>1256 Market Street</t>
  </si>
  <si>
    <t>CA</t>
  </si>
  <si>
    <t>Tim Dunn</t>
  </si>
  <si>
    <t>415-355-7113</t>
  </si>
  <si>
    <t>tdunn@mercyhousing.org</t>
  </si>
  <si>
    <t>Mercy Housing California</t>
  </si>
  <si>
    <t>Mercy Housing 91, LLC</t>
  </si>
  <si>
    <t>Managing GP</t>
  </si>
  <si>
    <t>Ramie Dare</t>
  </si>
  <si>
    <t>415-355-7118</t>
  </si>
  <si>
    <t>rdare@mercyhousing.org</t>
  </si>
  <si>
    <t>Developer</t>
  </si>
  <si>
    <t xml:space="preserve">1256 Market Street </t>
  </si>
  <si>
    <t>San Francisco, CA 94102</t>
  </si>
  <si>
    <t>M. Arthur Gensler Jr. &amp; Associates</t>
  </si>
  <si>
    <t>2101 Webster Street, Suite 2000</t>
  </si>
  <si>
    <t>Oakland, CA 94612</t>
  </si>
  <si>
    <t>Marc Pembroke</t>
  </si>
  <si>
    <t>Gubb &amp; Barshay</t>
  </si>
  <si>
    <t>235 Montgomery Street, Suite 1110</t>
  </si>
  <si>
    <t>San Francisco, CA 94104</t>
  </si>
  <si>
    <t xml:space="preserve">Evan Gross </t>
  </si>
  <si>
    <t>Cahill Contractors</t>
  </si>
  <si>
    <t>425 California St Ste 2200</t>
  </si>
  <si>
    <t>Casey Kasten</t>
  </si>
  <si>
    <t>CohnReznick, LLP</t>
  </si>
  <si>
    <t>525 North Tyson Street, Suite 1</t>
  </si>
  <si>
    <t>Charlotte, NC 28202</t>
  </si>
  <si>
    <t>Nic Mathias</t>
  </si>
  <si>
    <t>California Housing Partnership</t>
  </si>
  <si>
    <t>1107 9th Street, Suite 610</t>
  </si>
  <si>
    <t>Sacramento, CA 95814</t>
  </si>
  <si>
    <t>Adrienne Gemheart</t>
  </si>
  <si>
    <t>Newport Realty Advisors</t>
  </si>
  <si>
    <t xml:space="preserve">2601 Chestnut Street </t>
  </si>
  <si>
    <t>San Francisco, CA, 94123</t>
  </si>
  <si>
    <t xml:space="preserve">Charlie Castro </t>
  </si>
  <si>
    <t>Joe Napoliello</t>
  </si>
  <si>
    <t>840 Olive Avenue #3</t>
  </si>
  <si>
    <t>South San Francisco, CA 94080</t>
  </si>
  <si>
    <t>California Municipal Finance Authority</t>
  </si>
  <si>
    <t>2111 Palomar Airport Rd, Suite 320</t>
  </si>
  <si>
    <t>Carlsbad, CA 92011</t>
  </si>
  <si>
    <t>Anthony Stubbs</t>
  </si>
  <si>
    <t>Mercy Housing Management Group</t>
  </si>
  <si>
    <t>San Francisco, CA, 94102</t>
  </si>
  <si>
    <t>Jacquie Hoffman</t>
  </si>
  <si>
    <t>510-645-1708</t>
  </si>
  <si>
    <t>415-781-6600</t>
  </si>
  <si>
    <t>415-667-0606</t>
  </si>
  <si>
    <t>704-900-2013</t>
  </si>
  <si>
    <t>415-309-6728</t>
  </si>
  <si>
    <t>918-538-2368</t>
  </si>
  <si>
    <t>415-835-6060</t>
  </si>
  <si>
    <t>760-930-1333</t>
  </si>
  <si>
    <t>415-355-7124</t>
  </si>
  <si>
    <t>Marc_Pembroke@gensler.com</t>
  </si>
  <si>
    <t>egross@gubbandbarshay.com</t>
  </si>
  <si>
    <t>ckasten@cahill-sf.com</t>
  </si>
  <si>
    <t>nic.mathias@cohnreznick.com</t>
  </si>
  <si>
    <t>agemheart@chpc.net</t>
  </si>
  <si>
    <t>Charlie@NewportRealtyAdvisors.com</t>
  </si>
  <si>
    <t>joe@jvnal.com</t>
  </si>
  <si>
    <t>astubbs@cmfa-ca.com</t>
  </si>
  <si>
    <t>jhoffman@mercyhousing.org</t>
  </si>
  <si>
    <t>2101 Telegraph Avenue Associates, LP</t>
  </si>
  <si>
    <t>Vice President</t>
  </si>
  <si>
    <t>1256 Market Street, San Francisco CA, 94102</t>
  </si>
  <si>
    <t>Secured by Fee Interest</t>
  </si>
  <si>
    <t>Inner City Infill Site</t>
  </si>
  <si>
    <t>Communication</t>
  </si>
  <si>
    <t>Commercial Business District General Commercial Zone (CBD-C)</t>
  </si>
  <si>
    <t>CBD-C 90 SF/Unit</t>
  </si>
  <si>
    <t>CBD-C, 90 SF/Unit</t>
  </si>
  <si>
    <t>Exempt as project is a 100% affordable housing project</t>
  </si>
  <si>
    <t>Building Base 85 ft, No Height Limit</t>
  </si>
  <si>
    <t>No Requirement</t>
  </si>
  <si>
    <t>one</t>
  </si>
  <si>
    <t>Sponsor Gap Lan</t>
  </si>
  <si>
    <t>HUD 202</t>
  </si>
  <si>
    <t>Federal Home Loan Bank AHP</t>
  </si>
  <si>
    <t>Community Development Block Grant</t>
  </si>
  <si>
    <t>Chase - Tax Exempt Construction Loan</t>
  </si>
  <si>
    <t>Variable</t>
  </si>
  <si>
    <t>Fixed</t>
  </si>
  <si>
    <t>City of Oakland Loan</t>
  </si>
  <si>
    <t>Costs Deferred Until Conversion</t>
  </si>
  <si>
    <t>Limited Partner Tax Credit Equity</t>
  </si>
  <si>
    <t>560 Mission St, Floor 04</t>
  </si>
  <si>
    <t>San Fancisco, CA 94105</t>
  </si>
  <si>
    <t>James Vossoughi</t>
  </si>
  <si>
    <t>1256 Market St</t>
  </si>
  <si>
    <t>250 Frank H. Ogawa Plaza, Suite 5313</t>
  </si>
  <si>
    <t>Christia Mulvey</t>
  </si>
  <si>
    <t>Oakland, CA  94612</t>
  </si>
  <si>
    <t>Ferguson Foundation Grant - Sponsor Loan</t>
  </si>
  <si>
    <t>GP Loan AHP</t>
  </si>
  <si>
    <t>Oakland Housing Authority</t>
  </si>
  <si>
    <t>Misc Admin</t>
  </si>
  <si>
    <t>Payroll Taxes + Benefits</t>
  </si>
  <si>
    <t>Cable</t>
  </si>
  <si>
    <t>Misc Tax/License</t>
  </si>
  <si>
    <t>Other (Specify): Bond Compliance Fee</t>
  </si>
  <si>
    <t xml:space="preserve">Oakland </t>
  </si>
  <si>
    <t>PRAC</t>
  </si>
  <si>
    <t>Project-based contract (PBC)</t>
  </si>
  <si>
    <t>Provided</t>
  </si>
  <si>
    <t>Not Applicable</t>
  </si>
  <si>
    <t>Mercy Housing Calwest</t>
  </si>
  <si>
    <t>City of Oakland - Measure U +HOME</t>
  </si>
  <si>
    <t>City of Oakland - CDBG</t>
  </si>
  <si>
    <t>Sponsor Loan - HUD 202</t>
  </si>
  <si>
    <t>Chase - Taxable Construction Loan</t>
  </si>
  <si>
    <t>Other: PGE Transformer</t>
  </si>
  <si>
    <t>Other: PRAC, HUD + AM + GP Fees</t>
  </si>
  <si>
    <t>Other: Prevailing Wage Monitor</t>
  </si>
  <si>
    <t>Other: Utility Connection Fees</t>
  </si>
  <si>
    <t>Other: Waste Fees</t>
  </si>
  <si>
    <t>Other: Owner Legal</t>
  </si>
  <si>
    <t>Sponsor Loan: Ferguson Foundation Grant</t>
  </si>
  <si>
    <t>Other: Lender Expenses</t>
  </si>
  <si>
    <t>City of Oakland CDBG (Sponsor Loan)</t>
  </si>
  <si>
    <t>HUD 202 Capital Advance (Sponsor Loan)</t>
  </si>
  <si>
    <t>Donated Land</t>
  </si>
  <si>
    <t>May</t>
  </si>
  <si>
    <t>1256 Market Street, San Francisco</t>
  </si>
  <si>
    <t>TBD</t>
  </si>
  <si>
    <t>One Sansome Street, Suite 1200</t>
  </si>
  <si>
    <t>San Francisco, CA 94104-4430</t>
  </si>
  <si>
    <t>Matt Naish, Regional Director</t>
  </si>
  <si>
    <t>1256 Market St.</t>
  </si>
  <si>
    <t>San Francisco, CA  94102</t>
  </si>
  <si>
    <t>(510) 238-3502</t>
  </si>
  <si>
    <t>510-468-6722</t>
  </si>
  <si>
    <t>(303) 672-5153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</si>
</sst>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1" fontId="16" fillId="43" borderId="11" xfId="0" applyNumberFormat="1" applyFont="1" applyFill="1" applyBorder="1" applyAlignment="1" applyProtection="1">
      <alignment horizontal="center"/>
      <protection locked="0"/>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653</v>
      </c>
      <c r="F40" s="1262" t="s">
        <v>1164</v>
      </c>
    </row>
    <row r="41" spans="1:38" s="1262"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D137" sqref="D136:E13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7" t="s">
        <v>1585</v>
      </c>
      <c r="B1" s="2657"/>
      <c r="C1" s="2657"/>
      <c r="D1" s="2657"/>
      <c r="E1" s="2657"/>
      <c r="F1" s="2657"/>
      <c r="G1" s="2657"/>
      <c r="H1" s="2657"/>
      <c r="I1" s="2657"/>
      <c r="J1" s="265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33356096.000000004</v>
      </c>
      <c r="I3" s="1105"/>
    </row>
    <row r="4" spans="1:13" s="1051" customFormat="1" ht="20.100000000000001" customHeight="1">
      <c r="B4" s="1094"/>
      <c r="D4" s="1108"/>
      <c r="F4" s="1092" t="s">
        <v>1992</v>
      </c>
      <c r="G4" s="1091" t="s">
        <v>1991</v>
      </c>
      <c r="H4" s="1093">
        <f>I18</f>
        <v>26654082.746119283</v>
      </c>
      <c r="I4" s="1095"/>
      <c r="K4" s="1055"/>
    </row>
    <row r="5" spans="1:13" s="1051" customFormat="1" ht="20.100000000000001" customHeight="1" thickBot="1">
      <c r="B5" s="1096"/>
      <c r="C5" s="1097"/>
      <c r="D5" s="1109"/>
      <c r="E5" s="1098"/>
      <c r="F5" s="1109" t="s">
        <v>1942</v>
      </c>
      <c r="G5" s="1110"/>
      <c r="H5" s="1106">
        <f>IFERROR(H3/H4,0)</f>
        <v>1.2514441527670468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0" t="s">
        <v>1940</v>
      </c>
      <c r="C8" s="2661"/>
      <c r="D8" s="2661"/>
      <c r="E8" s="2662"/>
      <c r="G8" s="2663" t="s">
        <v>1941</v>
      </c>
      <c r="H8" s="2664"/>
      <c r="I8" s="2665"/>
      <c r="K8" s="1057"/>
    </row>
    <row r="9" spans="1:13" ht="15" customHeight="1">
      <c r="A9" s="1046"/>
      <c r="B9" s="2658" t="s">
        <v>1974</v>
      </c>
      <c r="C9" s="2658"/>
      <c r="D9" s="2658"/>
      <c r="E9" s="1059">
        <f>G33</f>
        <v>4320000</v>
      </c>
      <c r="G9" s="2666" t="s">
        <v>1972</v>
      </c>
      <c r="H9" s="2666"/>
      <c r="I9" s="1060">
        <f>SUMIF(Application!M554:M565,"Loan, Tax-Exempt",Application!AM554:AM565)</f>
        <v>40153350.5</v>
      </c>
      <c r="K9" s="1061"/>
      <c r="M9" s="1062"/>
    </row>
    <row r="10" spans="1:13" ht="15" customHeight="1" thickBot="1">
      <c r="A10" s="1046"/>
      <c r="B10" s="2658" t="s">
        <v>1975</v>
      </c>
      <c r="C10" s="2658"/>
      <c r="D10" s="2658"/>
      <c r="E10" s="1060">
        <f>G47</f>
        <v>18976896.000000004</v>
      </c>
      <c r="G10" s="2670" t="s">
        <v>1943</v>
      </c>
      <c r="H10" s="2670"/>
      <c r="I10" s="1140">
        <f>'Basis &amp; Credits'!AB78</f>
        <v>0</v>
      </c>
      <c r="M10" s="1062"/>
    </row>
    <row r="11" spans="1:13" ht="15" customHeight="1">
      <c r="A11" s="1046"/>
      <c r="B11" s="2674" t="s">
        <v>2264</v>
      </c>
      <c r="C11" s="2675"/>
      <c r="D11" s="2676"/>
      <c r="E11" s="1060">
        <f>SUM(E12,E13)</f>
        <v>1160000</v>
      </c>
      <c r="G11" s="2673" t="s">
        <v>1983</v>
      </c>
      <c r="H11" s="2673"/>
      <c r="I11" s="1139">
        <f>I9+I10</f>
        <v>40153350.5</v>
      </c>
      <c r="M11" s="1062"/>
    </row>
    <row r="12" spans="1:13" ht="15" customHeight="1">
      <c r="A12" s="1063"/>
      <c r="B12" s="2659" t="s">
        <v>2266</v>
      </c>
      <c r="C12" s="2659"/>
      <c r="D12" s="2659"/>
      <c r="E12" s="1165">
        <f>G56</f>
        <v>200000</v>
      </c>
      <c r="M12" s="1062"/>
    </row>
    <row r="13" spans="1:13" ht="15" customHeight="1">
      <c r="A13" s="1049"/>
      <c r="B13" s="2659" t="s">
        <v>2267</v>
      </c>
      <c r="C13" s="2659"/>
      <c r="D13" s="2659"/>
      <c r="E13" s="1165">
        <f>G65</f>
        <v>960000</v>
      </c>
      <c r="G13" s="2663" t="s">
        <v>2006</v>
      </c>
      <c r="H13" s="2664"/>
      <c r="I13" s="2665"/>
      <c r="M13" s="1062"/>
    </row>
    <row r="14" spans="1:13" ht="15" customHeight="1">
      <c r="A14" s="1049"/>
      <c r="B14" s="2674" t="s">
        <v>2265</v>
      </c>
      <c r="C14" s="2675"/>
      <c r="D14" s="2676"/>
      <c r="E14" s="1167">
        <f>MAX(E15,E16)+E17</f>
        <v>8899200</v>
      </c>
      <c r="G14" s="2666" t="s">
        <v>139</v>
      </c>
      <c r="H14" s="2666"/>
      <c r="I14" s="1064">
        <f>15%*(AND(G120="Yes",G122&lt;&gt;""))</f>
        <v>0.15</v>
      </c>
      <c r="M14" s="1062"/>
    </row>
    <row r="15" spans="1:13" ht="15" customHeight="1">
      <c r="A15" s="1049"/>
      <c r="B15" s="2677" t="s">
        <v>2271</v>
      </c>
      <c r="C15" s="2678"/>
      <c r="D15" s="2679"/>
      <c r="E15" s="1165">
        <f>G80</f>
        <v>2592000</v>
      </c>
      <c r="G15" s="1137" t="s">
        <v>1984</v>
      </c>
      <c r="H15" s="1137"/>
      <c r="I15" s="1064">
        <f>IF(Application!AJ1032&gt;0,10%,IF(Application!AJ1036&gt;0,5%,0))</f>
        <v>0.1</v>
      </c>
      <c r="M15" s="1062"/>
    </row>
    <row r="16" spans="1:13" ht="15" customHeight="1">
      <c r="A16" s="1049"/>
      <c r="B16" s="2677" t="s">
        <v>2270</v>
      </c>
      <c r="C16" s="2678"/>
      <c r="D16" s="2679"/>
      <c r="E16" s="1165">
        <f>G90</f>
        <v>1728000</v>
      </c>
      <c r="G16" s="2666" t="s">
        <v>1985</v>
      </c>
      <c r="H16" s="2666"/>
      <c r="I16" s="1064">
        <f>G132</f>
        <v>8.6192810457516339E-2</v>
      </c>
    </row>
    <row r="17" spans="1:21" ht="15" customHeight="1" thickBot="1">
      <c r="A17" s="1049"/>
      <c r="B17" s="2677" t="s">
        <v>2269</v>
      </c>
      <c r="C17" s="2678"/>
      <c r="D17" s="2679"/>
      <c r="E17" s="1165">
        <f>G115</f>
        <v>6307200</v>
      </c>
      <c r="G17" s="2666" t="s">
        <v>2279</v>
      </c>
      <c r="H17" s="2666"/>
      <c r="I17" s="1064">
        <f>IF(AND(G139="Yes",OR(G136,G137)),IF(G143&gt;15%,15%,G143),0)</f>
        <v>0</v>
      </c>
    </row>
    <row r="18" spans="1:21" ht="15" customHeight="1">
      <c r="A18" s="1046"/>
      <c r="B18" s="2669" t="s">
        <v>1939</v>
      </c>
      <c r="C18" s="2669"/>
      <c r="D18" s="2669"/>
      <c r="E18" s="1111">
        <f>SUM(E9:E11,E14)</f>
        <v>33356096.000000004</v>
      </c>
      <c r="G18" s="1138" t="s">
        <v>1973</v>
      </c>
      <c r="H18" s="1138"/>
      <c r="I18" s="1112">
        <f>I11-((I11*I14)+(I11*I15)+(I11*I16)+(I11*I17))</f>
        <v>26654082.746119283</v>
      </c>
      <c r="M18" s="1065">
        <f>SUM(Cdlac[Quantity])</f>
        <v>96</v>
      </c>
      <c r="O18" s="1084" t="s">
        <v>582</v>
      </c>
      <c r="P18" s="1044">
        <f>MATCH(Application!T189,Application!CB160:CB217,0)</f>
        <v>1</v>
      </c>
      <c r="T18" s="1065">
        <f>SUM(Cdlac[Population])</f>
        <v>20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20</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20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29</v>
      </c>
      <c r="N21" s="1071">
        <f>Application!AC719</f>
        <v>0.3</v>
      </c>
      <c r="O21" s="1071">
        <f>IF(Cdlac[[#This Row],[Quantity]]&gt;0,IF(Cdlac[[#This Row],[Federal]],30%,IF(AND(OR(NOT($G$38),$G$38=""),$G$43),40%,Cdlac[[#This Row],[iAMI]])),"")</f>
        <v>0.3</v>
      </c>
      <c r="P21" s="1065" cm="1">
        <f t="array" ref="P21">IF(Cdlac[[#This Row],[Quantity]]&gt;0,INDEX(TcacRents,$P$18,Cdlac[[#This Row],[Bedrooms]]+1)*Cdlac[[#This Row],[AMI]],"")</f>
        <v>838.8</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1098.2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7" t="s">
        <v>1987</v>
      </c>
      <c r="D22" s="2667" t="s">
        <v>1988</v>
      </c>
      <c r="E22" s="2667" t="s">
        <v>1989</v>
      </c>
      <c r="F22" s="2667" t="s">
        <v>2610</v>
      </c>
      <c r="G22" s="2667" t="s">
        <v>1986</v>
      </c>
      <c r="H22" s="1070"/>
      <c r="I22" s="1069"/>
      <c r="L22" s="1044">
        <f>IFERROR(MIN(4,MATCH(Application!B720,UnitSizes,0)-1),"")</f>
        <v>0</v>
      </c>
      <c r="M22" s="1065">
        <f>Application!G720</f>
        <v>47</v>
      </c>
      <c r="N22" s="1071">
        <f>Application!AC720</f>
        <v>0.5</v>
      </c>
      <c r="O22" s="1071">
        <f>IF(Cdlac[[#This Row],[Quantity]]&gt;0,IF(Cdlac[[#This Row],[Federal]],30%,IF(AND(OR(NOT($G$38),$G$38=""),$G$43),40%,Cdlac[[#This Row],[iAMI]])),"")</f>
        <v>0.3</v>
      </c>
      <c r="P22" s="1065" cm="1">
        <f t="array" ref="P22">IF(Cdlac[[#This Row],[Quantity]]&gt;0,INDEX(TcacRents,$P$18,Cdlac[[#This Row],[Bedrooms]]+1)*Cdlac[[#This Row],[AMI]],"")</f>
        <v>838.8</v>
      </c>
      <c r="Q22" s="1164"/>
      <c r="R22" s="1065" cm="1">
        <f t="array" ref="R22">IF(Cdlac[[#This Row],[Quantity]]&gt;0,INDEX(HudFmrs,$P$18,Cdlac[[#This Row],[Bedrooms]]+1),"")</f>
        <v>1937</v>
      </c>
      <c r="S22" s="1065">
        <f>IF(Cdlac[[#This Row],[Quantity]]&gt;0,MAX(0,Cdlac[[#This Row],[Fair Market Rent]]-IF(AND($G$37,$G$38,$G$38&lt;&gt;"",NOT(Cdlac[[#This Row],[Federal]]),Cdlac[[#This Row],[Preservation Rent]]&lt;&gt;""),Cdlac[[#This Row],[Preservation Rent]],Cdlac[[#This Row],[Restricted Rent]])),"")</f>
        <v>1098.2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8"/>
      <c r="D23" s="2668"/>
      <c r="E23" s="2668"/>
      <c r="F23" s="2668"/>
      <c r="G23" s="2668"/>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96</v>
      </c>
      <c r="F24" s="1072">
        <f>E24</f>
        <v>96</v>
      </c>
      <c r="G24" s="1072">
        <f>D24*F24</f>
        <v>86.4</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1" t="s">
        <v>1586</v>
      </c>
      <c r="D29" s="2682"/>
      <c r="E29" s="1089">
        <f>SUM(E24:E28)</f>
        <v>96</v>
      </c>
      <c r="F29" s="1089">
        <f>SUM(F24:F28)</f>
        <v>96</v>
      </c>
      <c r="G29" s="1090">
        <f>SUMPRODUCT(D24:D28,F24:F28)</f>
        <v>86.4</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86.4</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4320000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105427.20000000001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18976896.000000004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20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20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200000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49</v>
      </c>
    </row>
    <row r="61" spans="2:21" ht="15" customHeight="1">
      <c r="E61" s="1117" t="s">
        <v>1995</v>
      </c>
      <c r="G61" s="1079">
        <f>ROUNDDOWN(E29*50%,0)</f>
        <v>48</v>
      </c>
    </row>
    <row r="62" spans="2:21" ht="15" customHeight="1">
      <c r="E62" s="1117"/>
      <c r="G62" s="1079"/>
    </row>
    <row r="63" spans="2:21" ht="15" customHeight="1">
      <c r="E63" s="1117" t="s">
        <v>1955</v>
      </c>
      <c r="G63" s="1114">
        <f>MIN(G60:G61)</f>
        <v>48</v>
      </c>
    </row>
    <row r="64" spans="2:21" ht="15" customHeight="1">
      <c r="E64" s="1117" t="s">
        <v>1945</v>
      </c>
      <c r="F64" s="1113" t="s">
        <v>1993</v>
      </c>
      <c r="G64" s="1124">
        <v>20000</v>
      </c>
    </row>
    <row r="65" spans="2:14" ht="15" customHeight="1">
      <c r="E65" s="1118" t="s">
        <v>1977</v>
      </c>
      <c r="F65" s="1046"/>
      <c r="G65" s="1123">
        <f>G63*G64</f>
        <v>960000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Low Resource</v>
      </c>
      <c r="L72" s="2654" t="s">
        <v>1970</v>
      </c>
      <c r="M72" s="2655"/>
      <c r="N72" s="1131">
        <v>30000</v>
      </c>
    </row>
    <row r="73" spans="2:14" ht="15" customHeight="1">
      <c r="C73" s="2656" t="s">
        <v>2263</v>
      </c>
      <c r="D73" s="2656"/>
      <c r="E73" s="2656"/>
      <c r="F73" s="2656"/>
      <c r="G73" s="1043" t="s">
        <v>545</v>
      </c>
      <c r="L73" s="2671" t="s">
        <v>1938</v>
      </c>
      <c r="M73" s="2672"/>
      <c r="N73" s="1132">
        <v>20000</v>
      </c>
    </row>
    <row r="74" spans="2:14" ht="15" customHeight="1" thickBot="1">
      <c r="C74" s="2656"/>
      <c r="D74" s="2656"/>
      <c r="E74" s="2656"/>
      <c r="F74" s="2656"/>
      <c r="L74" s="2646" t="s">
        <v>1971</v>
      </c>
      <c r="M74" s="2647"/>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86.4</v>
      </c>
    </row>
    <row r="80" spans="2:14" ht="15" customHeight="1">
      <c r="D80" s="1046"/>
      <c r="E80" s="1118" t="s">
        <v>2268</v>
      </c>
      <c r="F80" s="1046"/>
      <c r="G80" s="1123">
        <f>G79*G78*G76</f>
        <v>2592000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545</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86.4</v>
      </c>
    </row>
    <row r="89" spans="2:9" ht="15" customHeight="1">
      <c r="E89" s="1084" t="s">
        <v>1945</v>
      </c>
      <c r="F89" s="1113" t="s">
        <v>1993</v>
      </c>
      <c r="G89" s="1050">
        <v>20000</v>
      </c>
    </row>
    <row r="90" spans="2:9" ht="15" customHeight="1">
      <c r="E90" s="1118" t="s">
        <v>2272</v>
      </c>
      <c r="F90" s="1046"/>
      <c r="G90" s="1123">
        <f>G86*G89*G88</f>
        <v>1728000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86.4</v>
      </c>
    </row>
    <row r="97" spans="2:14" ht="15" customHeight="1">
      <c r="E97" s="1118" t="s">
        <v>1962</v>
      </c>
      <c r="F97" s="1046"/>
      <c r="G97" s="1123">
        <f>G94*G95*G96</f>
        <v>2419200</v>
      </c>
      <c r="L97" s="1127" t="str">
        <f>'Points System'!H638</f>
        <v>(i)</v>
      </c>
      <c r="M97" s="2652" t="s">
        <v>1405</v>
      </c>
      <c r="N97" s="2653"/>
    </row>
    <row r="98" spans="2:14" ht="15" customHeight="1">
      <c r="C98" s="1077"/>
      <c r="G98" s="1114"/>
      <c r="L98" s="1128" t="str">
        <f>'Points System'!H650</f>
        <v>(ii)</v>
      </c>
      <c r="M98" s="2648" t="s">
        <v>1957</v>
      </c>
      <c r="N98" s="2649"/>
    </row>
    <row r="99" spans="2:14" ht="15" customHeight="1">
      <c r="E99" s="1084" t="s">
        <v>1998</v>
      </c>
      <c r="G99" s="1126">
        <f>COUNTIFS(L97:L104,"(i)")</f>
        <v>5</v>
      </c>
      <c r="L99" s="1128" t="str">
        <f>'Points System'!H685</f>
        <v>(ii)</v>
      </c>
      <c r="M99" s="2648" t="s">
        <v>1958</v>
      </c>
      <c r="N99" s="2649"/>
    </row>
    <row r="100" spans="2:14" ht="15" customHeight="1">
      <c r="E100" s="1084" t="s">
        <v>1945</v>
      </c>
      <c r="F100" s="1113" t="s">
        <v>1993</v>
      </c>
      <c r="G100" s="1124">
        <v>4000</v>
      </c>
      <c r="L100" s="1128" t="str">
        <f>IF(OR('Points System'!H709="(ii)",'Points System'!H709="(i)"),"(i)","N/A")</f>
        <v>(i)</v>
      </c>
      <c r="M100" s="2648" t="s">
        <v>1959</v>
      </c>
      <c r="N100" s="2649"/>
    </row>
    <row r="101" spans="2:14" ht="15" customHeight="1">
      <c r="E101" s="1118" t="s">
        <v>1963</v>
      </c>
      <c r="F101" s="1046"/>
      <c r="G101" s="1123">
        <f>G96*G99*G100</f>
        <v>1728000</v>
      </c>
      <c r="L101" s="1129" t="str">
        <f>'Points System'!H723</f>
        <v>(i)</v>
      </c>
      <c r="M101" s="2648" t="s">
        <v>1431</v>
      </c>
      <c r="N101" s="2649"/>
    </row>
    <row r="102" spans="2:14" ht="15" customHeight="1">
      <c r="L102" s="1128" t="str">
        <f>'Points System'!H735</f>
        <v>N/A</v>
      </c>
      <c r="M102" s="2648" t="s">
        <v>1960</v>
      </c>
      <c r="N102" s="2649"/>
    </row>
    <row r="103" spans="2:14" ht="15" customHeight="1">
      <c r="C103" s="1080" t="s">
        <v>1965</v>
      </c>
      <c r="L103" s="1128" t="str">
        <f>'Points System'!H751</f>
        <v>(i)</v>
      </c>
      <c r="M103" s="2648" t="s">
        <v>1961</v>
      </c>
      <c r="N103" s="2649"/>
    </row>
    <row r="104" spans="2:14" ht="15" customHeight="1" thickBot="1">
      <c r="C104" s="1077" t="s">
        <v>1966</v>
      </c>
      <c r="G104" s="1043"/>
      <c r="L104" s="1130" t="str">
        <f>'Points System'!H763</f>
        <v>(i)</v>
      </c>
      <c r="M104" s="2650" t="s">
        <v>1434</v>
      </c>
      <c r="N104" s="2651"/>
    </row>
    <row r="105" spans="2:14" ht="15" customHeight="1">
      <c r="C105" s="1077" t="s">
        <v>1967</v>
      </c>
      <c r="G105" s="1043"/>
    </row>
    <row r="106" spans="2:14" ht="15" customHeight="1">
      <c r="C106" s="1077" t="s">
        <v>2140</v>
      </c>
      <c r="G106" s="1043" t="s">
        <v>545</v>
      </c>
    </row>
    <row r="107" spans="2:14" ht="15" customHeight="1">
      <c r="C107" s="1077" t="s">
        <v>2141</v>
      </c>
      <c r="G107" s="1043" t="s">
        <v>545</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86.4</v>
      </c>
    </row>
    <row r="112" spans="2:14" ht="15" customHeight="1">
      <c r="E112" s="1084" t="s">
        <v>1945</v>
      </c>
      <c r="F112" s="1113" t="s">
        <v>1993</v>
      </c>
      <c r="G112" s="1124">
        <v>25000</v>
      </c>
    </row>
    <row r="113" spans="2:9" ht="15" customHeight="1">
      <c r="E113" s="1118" t="s">
        <v>1964</v>
      </c>
      <c r="F113" s="1046"/>
      <c r="G113" s="1123">
        <f>G109*G112*G96</f>
        <v>2160000</v>
      </c>
    </row>
    <row r="114" spans="2:9" ht="15" customHeight="1">
      <c r="C114" s="1077"/>
      <c r="E114" s="1077"/>
    </row>
    <row r="115" spans="2:9" ht="15" customHeight="1">
      <c r="E115" s="1118" t="s">
        <v>2273</v>
      </c>
      <c r="G115" s="1123">
        <f>G113+G101+G97</f>
        <v>6307200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2228</v>
      </c>
      <c r="D119" s="2683"/>
      <c r="E119" s="2683"/>
      <c r="F119" s="2683"/>
    </row>
    <row r="120" spans="2:9" ht="15" customHeight="1">
      <c r="C120" s="2683"/>
      <c r="D120" s="2683"/>
      <c r="E120" s="2683"/>
      <c r="F120" s="2683"/>
      <c r="G120" s="1043" t="s">
        <v>545</v>
      </c>
    </row>
    <row r="121" spans="2:9" ht="15" customHeight="1"/>
    <row r="122" spans="2:9" ht="15" customHeight="1">
      <c r="C122" s="1044" t="s">
        <v>2230</v>
      </c>
      <c r="G122" s="2685" t="s">
        <v>2613</v>
      </c>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2001</v>
      </c>
      <c r="G131" s="1078">
        <f>MEDIAN((Application!CU160:CU217))</f>
        <v>489600</v>
      </c>
    </row>
    <row r="132" spans="2:9" ht="15">
      <c r="D132" s="1046"/>
      <c r="E132" s="1118" t="s">
        <v>2003</v>
      </c>
      <c r="F132" s="1134"/>
      <c r="G132" s="1135">
        <f>((G130-G131)/G131)*0.25</f>
        <v>8.6192810457516339E-2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0" t="s">
        <v>2276</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6023002.5750000002</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4" sqref="F4:F6"/>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909</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SRO/Studio</v>
      </c>
      <c r="B4" s="1082">
        <f>Application!G718</f>
        <v>20</v>
      </c>
      <c r="C4" s="1162" t="s">
        <v>384</v>
      </c>
      <c r="D4" s="428">
        <f>Application!O718</f>
        <v>300</v>
      </c>
      <c r="E4" s="429"/>
      <c r="F4" s="1083">
        <f>1116.4375</f>
        <v>1116.4375</v>
      </c>
      <c r="G4" s="428">
        <f>F4*B4</f>
        <v>22328.75</v>
      </c>
      <c r="H4" s="429"/>
      <c r="I4" s="428">
        <f t="shared" ref="I4:I27" si="0">IF(F4=0,"",(F4-D4))</f>
        <v>816.4375</v>
      </c>
      <c r="J4" s="428">
        <f t="shared" ref="J4:J27" si="1">IF(F4=0,"",(I4*B4))</f>
        <v>16328.75</v>
      </c>
      <c r="K4" s="204"/>
      <c r="L4" s="305"/>
    </row>
    <row r="5" spans="1:12">
      <c r="A5" s="428" t="str">
        <f>Application!B719</f>
        <v>SRO/Studio</v>
      </c>
      <c r="B5" s="1082">
        <f>Application!G719</f>
        <v>29</v>
      </c>
      <c r="C5" s="1162" t="s">
        <v>384</v>
      </c>
      <c r="D5" s="428">
        <f>Application!O719</f>
        <v>300</v>
      </c>
      <c r="E5" s="429"/>
      <c r="F5" s="1083">
        <f t="shared" ref="F5:F6" si="2">1116.4375</f>
        <v>1116.4375</v>
      </c>
      <c r="G5" s="428">
        <f t="shared" ref="G5:G38" si="3">F5*B5</f>
        <v>32376.6875</v>
      </c>
      <c r="H5" s="429"/>
      <c r="I5" s="428">
        <f t="shared" si="0"/>
        <v>816.4375</v>
      </c>
      <c r="J5" s="428">
        <f t="shared" si="1"/>
        <v>23676.6875</v>
      </c>
      <c r="K5" s="204"/>
      <c r="L5" s="305"/>
    </row>
    <row r="6" spans="1:12">
      <c r="A6" s="428" t="str">
        <f>Application!B720</f>
        <v>SRO/Studio</v>
      </c>
      <c r="B6" s="1082">
        <f>Application!G720</f>
        <v>47</v>
      </c>
      <c r="C6" s="1162" t="s">
        <v>384</v>
      </c>
      <c r="D6" s="428">
        <f>Application!O720</f>
        <v>300</v>
      </c>
      <c r="E6" s="429"/>
      <c r="F6" s="1083">
        <f t="shared" si="2"/>
        <v>1116.4375</v>
      </c>
      <c r="G6" s="428">
        <f t="shared" si="3"/>
        <v>52472.5625</v>
      </c>
      <c r="H6" s="429"/>
      <c r="I6" s="428">
        <f t="shared" si="0"/>
        <v>816.4375</v>
      </c>
      <c r="J6" s="428">
        <f t="shared" si="1"/>
        <v>38372.5625</v>
      </c>
      <c r="K6" s="204"/>
      <c r="L6" s="305"/>
    </row>
    <row r="7" spans="1:12">
      <c r="A7" s="428">
        <f>Application!B721</f>
        <v>0</v>
      </c>
      <c r="B7" s="1082">
        <f>Application!G721</f>
        <v>0</v>
      </c>
      <c r="C7" s="1162"/>
      <c r="D7" s="428">
        <f>Application!O721</f>
        <v>0</v>
      </c>
      <c r="E7" s="429"/>
      <c r="F7" s="1083"/>
      <c r="G7" s="428">
        <f t="shared" si="3"/>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3"/>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3"/>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3"/>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3"/>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3"/>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3"/>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3"/>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3"/>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3"/>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3"/>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3"/>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3"/>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3"/>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3"/>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3"/>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3"/>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3"/>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3"/>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3"/>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3"/>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3"/>
        <v>0</v>
      </c>
      <c r="H28" s="429"/>
      <c r="I28" s="428" t="str">
        <f t="shared" ref="I28:I37" si="4">IF(F28=0,"",(F28-D28))</f>
        <v/>
      </c>
      <c r="J28" s="428" t="str">
        <f t="shared" ref="J28:J37" si="5">IF(F28=0,"",(I28*B28))</f>
        <v/>
      </c>
      <c r="K28" s="204"/>
      <c r="L28" s="305"/>
    </row>
    <row r="29" spans="1:12">
      <c r="A29" s="428">
        <f>Application!B743</f>
        <v>0</v>
      </c>
      <c r="B29" s="1082">
        <f>Application!G743</f>
        <v>0</v>
      </c>
      <c r="C29" s="1162"/>
      <c r="D29" s="428">
        <f>Application!O743</f>
        <v>0</v>
      </c>
      <c r="E29" s="429"/>
      <c r="F29" s="1083"/>
      <c r="G29" s="428">
        <f t="shared" si="3"/>
        <v>0</v>
      </c>
      <c r="H29" s="429"/>
      <c r="I29" s="428" t="str">
        <f t="shared" si="4"/>
        <v/>
      </c>
      <c r="J29" s="428" t="str">
        <f t="shared" si="5"/>
        <v/>
      </c>
      <c r="K29" s="204"/>
      <c r="L29" s="305"/>
    </row>
    <row r="30" spans="1:12">
      <c r="A30" s="428">
        <f>Application!B744</f>
        <v>0</v>
      </c>
      <c r="B30" s="1082">
        <f>Application!G744</f>
        <v>0</v>
      </c>
      <c r="C30" s="1162"/>
      <c r="D30" s="428">
        <f>Application!O744</f>
        <v>0</v>
      </c>
      <c r="E30" s="429"/>
      <c r="F30" s="1083"/>
      <c r="G30" s="428">
        <f t="shared" si="3"/>
        <v>0</v>
      </c>
      <c r="H30" s="429"/>
      <c r="I30" s="428" t="str">
        <f t="shared" si="4"/>
        <v/>
      </c>
      <c r="J30" s="428" t="str">
        <f t="shared" si="5"/>
        <v/>
      </c>
      <c r="K30" s="204"/>
      <c r="L30" s="305"/>
    </row>
    <row r="31" spans="1:12">
      <c r="A31" s="428">
        <f>Application!B745</f>
        <v>0</v>
      </c>
      <c r="B31" s="1082">
        <f>Application!G745</f>
        <v>0</v>
      </c>
      <c r="C31" s="1162"/>
      <c r="D31" s="428">
        <f>Application!O745</f>
        <v>0</v>
      </c>
      <c r="E31" s="429"/>
      <c r="F31" s="1083"/>
      <c r="G31" s="428">
        <f t="shared" si="3"/>
        <v>0</v>
      </c>
      <c r="H31" s="429"/>
      <c r="I31" s="428" t="str">
        <f t="shared" si="4"/>
        <v/>
      </c>
      <c r="J31" s="428" t="str">
        <f t="shared" si="5"/>
        <v/>
      </c>
      <c r="K31" s="204"/>
      <c r="L31" s="305"/>
    </row>
    <row r="32" spans="1:12">
      <c r="A32" s="428">
        <f>Application!B746</f>
        <v>0</v>
      </c>
      <c r="B32" s="1082">
        <f>Application!G746</f>
        <v>0</v>
      </c>
      <c r="C32" s="1162"/>
      <c r="D32" s="428">
        <f>Application!O746</f>
        <v>0</v>
      </c>
      <c r="E32" s="429"/>
      <c r="F32" s="1083"/>
      <c r="G32" s="428">
        <f t="shared" si="3"/>
        <v>0</v>
      </c>
      <c r="H32" s="429"/>
      <c r="I32" s="428" t="str">
        <f t="shared" si="4"/>
        <v/>
      </c>
      <c r="J32" s="428" t="str">
        <f t="shared" si="5"/>
        <v/>
      </c>
      <c r="K32" s="204"/>
      <c r="L32" s="305"/>
    </row>
    <row r="33" spans="1:12">
      <c r="A33" s="428">
        <f>Application!B747</f>
        <v>0</v>
      </c>
      <c r="B33" s="1082">
        <f>Application!G747</f>
        <v>0</v>
      </c>
      <c r="C33" s="1162"/>
      <c r="D33" s="428">
        <f>Application!O747</f>
        <v>0</v>
      </c>
      <c r="E33" s="429"/>
      <c r="F33" s="1083"/>
      <c r="G33" s="428">
        <f t="shared" si="3"/>
        <v>0</v>
      </c>
      <c r="H33" s="429"/>
      <c r="I33" s="428" t="str">
        <f t="shared" si="4"/>
        <v/>
      </c>
      <c r="J33" s="428" t="str">
        <f t="shared" si="5"/>
        <v/>
      </c>
      <c r="K33" s="204"/>
      <c r="L33" s="305"/>
    </row>
    <row r="34" spans="1:12">
      <c r="A34" s="428">
        <f>Application!B748</f>
        <v>0</v>
      </c>
      <c r="B34" s="1082">
        <f>Application!G748</f>
        <v>0</v>
      </c>
      <c r="C34" s="1162"/>
      <c r="D34" s="428">
        <f>Application!O748</f>
        <v>0</v>
      </c>
      <c r="E34" s="429"/>
      <c r="F34" s="1083"/>
      <c r="G34" s="428">
        <f t="shared" si="3"/>
        <v>0</v>
      </c>
      <c r="H34" s="429"/>
      <c r="I34" s="428" t="str">
        <f t="shared" si="4"/>
        <v/>
      </c>
      <c r="J34" s="428" t="str">
        <f t="shared" si="5"/>
        <v/>
      </c>
      <c r="K34" s="204"/>
      <c r="L34" s="305"/>
    </row>
    <row r="35" spans="1:12">
      <c r="A35" s="428">
        <f>Application!B749</f>
        <v>0</v>
      </c>
      <c r="B35" s="1082">
        <f>Application!G749</f>
        <v>0</v>
      </c>
      <c r="C35" s="1162"/>
      <c r="D35" s="428">
        <f>Application!O749</f>
        <v>0</v>
      </c>
      <c r="E35" s="429"/>
      <c r="F35" s="1083"/>
      <c r="G35" s="428">
        <f t="shared" si="3"/>
        <v>0</v>
      </c>
      <c r="H35" s="429"/>
      <c r="I35" s="428" t="str">
        <f t="shared" si="4"/>
        <v/>
      </c>
      <c r="J35" s="428" t="str">
        <f t="shared" si="5"/>
        <v/>
      </c>
      <c r="K35" s="204"/>
      <c r="L35" s="305"/>
    </row>
    <row r="36" spans="1:12">
      <c r="A36" s="428">
        <f>Application!B750</f>
        <v>0</v>
      </c>
      <c r="B36" s="1082">
        <f>Application!G750</f>
        <v>0</v>
      </c>
      <c r="C36" s="1162"/>
      <c r="D36" s="428">
        <f>Application!O750</f>
        <v>0</v>
      </c>
      <c r="E36" s="429"/>
      <c r="F36" s="1083"/>
      <c r="G36" s="428">
        <f t="shared" si="3"/>
        <v>0</v>
      </c>
      <c r="H36" s="429"/>
      <c r="I36" s="428" t="str">
        <f t="shared" si="4"/>
        <v/>
      </c>
      <c r="J36" s="428" t="str">
        <f t="shared" si="5"/>
        <v/>
      </c>
      <c r="K36" s="204"/>
      <c r="L36" s="305"/>
    </row>
    <row r="37" spans="1:12">
      <c r="A37" s="428">
        <f>Application!B751</f>
        <v>0</v>
      </c>
      <c r="B37" s="1082">
        <f>Application!G751</f>
        <v>0</v>
      </c>
      <c r="C37" s="1162"/>
      <c r="D37" s="428">
        <f>Application!O751</f>
        <v>0</v>
      </c>
      <c r="E37" s="429"/>
      <c r="F37" s="1083"/>
      <c r="G37" s="428">
        <f t="shared" si="3"/>
        <v>0</v>
      </c>
      <c r="H37" s="429"/>
      <c r="I37" s="428" t="str">
        <f t="shared" si="4"/>
        <v/>
      </c>
      <c r="J37" s="428" t="str">
        <f t="shared" si="5"/>
        <v/>
      </c>
      <c r="K37" s="204"/>
      <c r="L37" s="305"/>
    </row>
    <row r="38" spans="1:12">
      <c r="A38" s="428">
        <f>Application!B752</f>
        <v>0</v>
      </c>
      <c r="B38" s="1082">
        <f>Application!G752</f>
        <v>0</v>
      </c>
      <c r="C38" s="1162"/>
      <c r="D38" s="428">
        <f>Application!O752</f>
        <v>0</v>
      </c>
      <c r="E38" s="429"/>
      <c r="F38" s="1083"/>
      <c r="G38" s="428">
        <f t="shared" si="3"/>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28800</v>
      </c>
      <c r="E40" s="429"/>
      <c r="F40" s="429"/>
      <c r="G40" s="432">
        <f>SUM(G4:G38)*12</f>
        <v>1286136</v>
      </c>
      <c r="H40" s="433"/>
      <c r="I40" s="431"/>
      <c r="J40" s="432">
        <f>SUM(J4:J38)*12</f>
        <v>940536</v>
      </c>
      <c r="K40" s="204"/>
      <c r="L40" s="306"/>
    </row>
    <row r="41" spans="1:12" ht="15">
      <c r="A41" s="430"/>
      <c r="B41" s="431"/>
      <c r="C41" s="431"/>
      <c r="D41" s="433"/>
      <c r="E41" s="429"/>
      <c r="F41" s="429"/>
      <c r="G41" s="433"/>
      <c r="H41" s="433"/>
      <c r="I41" s="431"/>
      <c r="J41" s="433"/>
      <c r="K41" s="204"/>
      <c r="L41" s="306"/>
    </row>
    <row r="42" spans="1:12">
      <c r="A42" s="304" t="s">
        <v>2258</v>
      </c>
    </row>
    <row r="43" spans="1:12">
      <c r="A43" s="2688" t="s">
        <v>2497</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2259</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C44" workbookViewId="0">
      <selection activeCell="E62" sqref="E62"/>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345600</v>
      </c>
      <c r="G4" s="219">
        <f>E4*$C$4</f>
        <v>354239.99999999994</v>
      </c>
      <c r="I4" s="219">
        <f>G4*$C$4</f>
        <v>363095.99999999988</v>
      </c>
      <c r="K4" s="219">
        <f>I4*$C$4</f>
        <v>372173.39999999985</v>
      </c>
      <c r="M4" s="219">
        <f>K4*$C$4</f>
        <v>381477.73499999981</v>
      </c>
      <c r="O4" s="219">
        <f>M4*$C$4</f>
        <v>391014.67837499978</v>
      </c>
      <c r="Q4" s="219">
        <f>O4*$C$4</f>
        <v>400790.04533437476</v>
      </c>
      <c r="S4" s="219">
        <f>Q4*$C$4</f>
        <v>410809.79646773409</v>
      </c>
      <c r="U4" s="219">
        <f>S4*$C$4</f>
        <v>421080.04137942742</v>
      </c>
      <c r="W4" s="219">
        <f>U4*$C$4</f>
        <v>431607.04241391306</v>
      </c>
      <c r="Y4" s="219">
        <f>W4*$C$4</f>
        <v>442397.21847426082</v>
      </c>
      <c r="AA4" s="219">
        <f>Y4*$C$4</f>
        <v>453457.1489361173</v>
      </c>
      <c r="AC4" s="219">
        <f>AA4*$C$4</f>
        <v>464793.5776595202</v>
      </c>
      <c r="AE4" s="219">
        <f>AC4*$C$4</f>
        <v>476413.41710100818</v>
      </c>
      <c r="AG4" s="219">
        <f>AE4*$C$4</f>
        <v>488323.75252853334</v>
      </c>
    </row>
    <row r="5" spans="1:34" s="210" customFormat="1" ht="14.25">
      <c r="B5" s="210" t="s">
        <v>838</v>
      </c>
      <c r="C5" s="238">
        <f>IF(Application!$D$211="Special Needs",(((0.1*Application!$T$212)+(0.05*(1-Application!$T$212)))),0.05)</f>
        <v>0.05</v>
      </c>
      <c r="E5" s="221">
        <f>-E4*$C$5</f>
        <v>-17280</v>
      </c>
      <c r="F5" s="221"/>
      <c r="G5" s="221">
        <f>-G4*$C$5</f>
        <v>-17711.999999999996</v>
      </c>
      <c r="H5" s="221"/>
      <c r="I5" s="221">
        <f>-I4*$C$5</f>
        <v>-18154.799999999996</v>
      </c>
      <c r="J5" s="221"/>
      <c r="K5" s="221">
        <f>-K4*$C$5</f>
        <v>-18608.669999999995</v>
      </c>
      <c r="L5" s="221"/>
      <c r="M5" s="221">
        <f>-M4*$C$5</f>
        <v>-19073.886749999991</v>
      </c>
      <c r="N5" s="221"/>
      <c r="O5" s="221">
        <f>-O4*$C$5</f>
        <v>-19550.733918749989</v>
      </c>
      <c r="P5" s="221"/>
      <c r="Q5" s="221">
        <f>-Q4*$C$5</f>
        <v>-20039.50226671874</v>
      </c>
      <c r="R5" s="221"/>
      <c r="S5" s="221">
        <f>-S4*$C$5</f>
        <v>-20540.489823386706</v>
      </c>
      <c r="T5" s="221"/>
      <c r="U5" s="221">
        <f>-U4*$C$5</f>
        <v>-21054.002068971371</v>
      </c>
      <c r="V5" s="221"/>
      <c r="W5" s="221">
        <f>-W4*$C$5</f>
        <v>-21580.352120695654</v>
      </c>
      <c r="X5" s="221"/>
      <c r="Y5" s="221">
        <f>-Y4*$C$5</f>
        <v>-22119.860923713044</v>
      </c>
      <c r="Z5" s="221"/>
      <c r="AA5" s="221">
        <f>-AA4*$C$5</f>
        <v>-22672.857446805865</v>
      </c>
      <c r="AB5" s="221"/>
      <c r="AC5" s="221">
        <f>-AC4*$C$5</f>
        <v>-23239.678882976012</v>
      </c>
      <c r="AD5" s="221"/>
      <c r="AE5" s="221">
        <f>-AE4*$C$5</f>
        <v>-23820.670855050412</v>
      </c>
      <c r="AF5" s="221"/>
      <c r="AG5" s="221">
        <f>-AG4*$C$5</f>
        <v>-24416.187626426668</v>
      </c>
    </row>
    <row r="6" spans="1:34" s="210" customFormat="1" ht="14.25">
      <c r="A6" s="210" t="s">
        <v>836</v>
      </c>
      <c r="C6" s="237">
        <v>1.0249999999999999</v>
      </c>
      <c r="E6" s="222">
        <f>Application!Z809</f>
        <v>940536</v>
      </c>
      <c r="F6" s="222"/>
      <c r="G6" s="222">
        <f ca="1">G35-(G4+G5+G7+G8+G9)+1</f>
        <v>974780.43684210535</v>
      </c>
      <c r="H6" s="222"/>
      <c r="I6" s="222">
        <f ca="1">I35-(I4+I5+I7+I8+I9)+1</f>
        <v>1010303.9562368419</v>
      </c>
      <c r="J6" s="222"/>
      <c r="K6" s="222">
        <f ca="1">K35-(K4+K5+K7+K8+K9)+1</f>
        <v>1047153.3773488158</v>
      </c>
      <c r="L6" s="222"/>
      <c r="M6" s="222">
        <f ca="1">M35-(M4+M5+M7+M8+M9)+1</f>
        <v>1085377.210057148</v>
      </c>
      <c r="N6" s="222"/>
      <c r="O6" s="222">
        <f ca="1">O35-(O4+O5+O7+O8+O9)+1</f>
        <v>1125025.7154468158</v>
      </c>
      <c r="P6" s="222"/>
      <c r="Q6" s="222">
        <f ca="1">Q35-(Q4+Q5+Q7+Q8+Q9)+1</f>
        <v>1166150.9684504031</v>
      </c>
      <c r="R6" s="222"/>
      <c r="S6" s="222">
        <f ca="1">S35-(S4+S5+S7+S8+S9)+1</f>
        <v>1208806.9227163577</v>
      </c>
      <c r="T6" s="222"/>
      <c r="U6" s="222">
        <f ca="1">U35-(U4+U5+U7+U8+U9)+1</f>
        <v>1253049.4777825479</v>
      </c>
      <c r="V6" s="222"/>
      <c r="W6" s="222">
        <f ca="1">W35-(W4+W5+W7+W8+W9)+1</f>
        <v>1298936.5486366821</v>
      </c>
      <c r="X6" s="222"/>
      <c r="Y6" s="222">
        <f ca="1">Y35-(Y4+Y5+Y7+Y8+Y9)+1</f>
        <v>1346528.1377480221</v>
      </c>
      <c r="Z6" s="222"/>
      <c r="AA6" s="222">
        <f ca="1">AA35-(AA4+AA5+AA7+AA8+AA9)+1</f>
        <v>1395886.4096578257</v>
      </c>
      <c r="AB6" s="222"/>
      <c r="AC6" s="222">
        <f ca="1">AC35-(AC4+AC5+AC7+AC8+AC9)+1</f>
        <v>1447075.7682190076</v>
      </c>
      <c r="AD6" s="222"/>
      <c r="AE6" s="222">
        <f ca="1">AE35-(AE4+AE5+AE7+AE8+AE9)+1</f>
        <v>1500162.9365787175</v>
      </c>
      <c r="AF6" s="222"/>
      <c r="AG6" s="222">
        <f ca="1">AG35-(AG4+AG5+AG7+AG8+AG9)+1</f>
        <v>1555217.0400008336</v>
      </c>
    </row>
    <row r="7" spans="1:34" s="210" customFormat="1" ht="14.25">
      <c r="B7" s="210" t="s">
        <v>838</v>
      </c>
      <c r="C7" s="238">
        <f>IF(Application!$D$211="Special Needs",(((0.1*Application!$T$212)+(0.05*(1-Application!$T$212)))),0.05)</f>
        <v>0.05</v>
      </c>
      <c r="E7" s="221">
        <f>-E6*$C$7</f>
        <v>-47026.8</v>
      </c>
      <c r="F7" s="221"/>
      <c r="G7" s="221">
        <f ca="1">-G6*$C$7</f>
        <v>-48739.02184210527</v>
      </c>
      <c r="H7" s="221"/>
      <c r="I7" s="221">
        <f ca="1">-I6*$C$7</f>
        <v>-50515.197811842096</v>
      </c>
      <c r="J7" s="221"/>
      <c r="K7" s="221">
        <f ca="1">-K6*$C$7</f>
        <v>-52357.668867440792</v>
      </c>
      <c r="L7" s="221"/>
      <c r="M7" s="221">
        <f ca="1">-M6*$C$7</f>
        <v>-54268.860502857402</v>
      </c>
      <c r="N7" s="221"/>
      <c r="O7" s="221">
        <f ca="1">-O6*$C$7</f>
        <v>-56251.285772340794</v>
      </c>
      <c r="P7" s="221"/>
      <c r="Q7" s="221">
        <f ca="1">-Q6*$C$7</f>
        <v>-58307.548422520158</v>
      </c>
      <c r="R7" s="221"/>
      <c r="S7" s="221">
        <f ca="1">-S6*$C$7</f>
        <v>-60440.34613581789</v>
      </c>
      <c r="T7" s="221"/>
      <c r="U7" s="221">
        <f ca="1">-U6*$C$7</f>
        <v>-62652.473889127403</v>
      </c>
      <c r="V7" s="221"/>
      <c r="W7" s="221">
        <f ca="1">-W6*$C$7</f>
        <v>-64946.827431834106</v>
      </c>
      <c r="X7" s="221"/>
      <c r="Y7" s="221">
        <f ca="1">-Y6*$C$7</f>
        <v>-67326.406887401114</v>
      </c>
      <c r="Z7" s="221"/>
      <c r="AA7" s="221">
        <f ca="1">-AA6*$C$7</f>
        <v>-69794.320482891286</v>
      </c>
      <c r="AB7" s="221"/>
      <c r="AC7" s="221">
        <f ca="1">-AC6*$C$7</f>
        <v>-72353.788410950379</v>
      </c>
      <c r="AD7" s="221"/>
      <c r="AE7" s="221">
        <f ca="1">-AE6*$C$7</f>
        <v>-75008.146828935875</v>
      </c>
      <c r="AF7" s="221"/>
      <c r="AG7" s="221">
        <f ca="1">-AG6*$C$7</f>
        <v>-77760.852000041676</v>
      </c>
    </row>
    <row r="8" spans="1:34" s="210" customFormat="1" ht="14.25">
      <c r="A8" s="210" t="s">
        <v>287</v>
      </c>
      <c r="C8" s="237">
        <v>1.0249999999999999</v>
      </c>
      <c r="E8" s="222">
        <f>Application!Z817</f>
        <v>6984</v>
      </c>
      <c r="F8" s="222"/>
      <c r="G8" s="222">
        <f>E8*$C$8</f>
        <v>7158.5999999999995</v>
      </c>
      <c r="H8" s="222"/>
      <c r="I8" s="222">
        <f>G8*$C$8</f>
        <v>7337.5649999999987</v>
      </c>
      <c r="J8" s="222"/>
      <c r="K8" s="222">
        <f>I8*$C$8</f>
        <v>7521.0041249999977</v>
      </c>
      <c r="L8" s="222"/>
      <c r="M8" s="222">
        <f>K8*$C$8</f>
        <v>7709.0292281249967</v>
      </c>
      <c r="N8" s="222"/>
      <c r="O8" s="222">
        <f>M8*$C$8</f>
        <v>7901.7549588281208</v>
      </c>
      <c r="P8" s="222"/>
      <c r="Q8" s="222">
        <f>O8*$C$8</f>
        <v>8099.2988327988232</v>
      </c>
      <c r="R8" s="222"/>
      <c r="S8" s="222">
        <f>Q8*$C$8</f>
        <v>8301.7813036187927</v>
      </c>
      <c r="T8" s="222"/>
      <c r="U8" s="222">
        <f>S8*$C$8</f>
        <v>8509.325836209262</v>
      </c>
      <c r="V8" s="222"/>
      <c r="W8" s="222">
        <f>U8*$C$8</f>
        <v>8722.0589821144931</v>
      </c>
      <c r="X8" s="222"/>
      <c r="Y8" s="222">
        <f>W8*$C$8</f>
        <v>8940.1104566673548</v>
      </c>
      <c r="Z8" s="222"/>
      <c r="AA8" s="222">
        <f>Y8*$C$8</f>
        <v>9163.6132180840377</v>
      </c>
      <c r="AB8" s="222"/>
      <c r="AC8" s="222">
        <f>AA8*$C$8</f>
        <v>9392.7035485361375</v>
      </c>
      <c r="AD8" s="222"/>
      <c r="AE8" s="222">
        <f>AC8*$C$8</f>
        <v>9627.5211372495396</v>
      </c>
      <c r="AF8" s="222"/>
      <c r="AG8" s="222">
        <f>AE8*$C$8</f>
        <v>9868.209165680777</v>
      </c>
    </row>
    <row r="9" spans="1:34" s="210" customFormat="1" ht="14.25">
      <c r="B9" s="210" t="s">
        <v>838</v>
      </c>
      <c r="C9" s="238">
        <f>IF(Application!$D$211="Special Needs",(((0.1*Application!$T$212)+(0.05*(1-Application!$T$212)))),0.05)</f>
        <v>0.05</v>
      </c>
      <c r="E9" s="221">
        <f>-E8*$C$9</f>
        <v>-349.20000000000005</v>
      </c>
      <c r="F9" s="221"/>
      <c r="G9" s="221">
        <f>-G8*$C$9</f>
        <v>-357.93</v>
      </c>
      <c r="H9" s="221"/>
      <c r="I9" s="221">
        <f>-I8*$C$9</f>
        <v>-366.87824999999998</v>
      </c>
      <c r="J9" s="221"/>
      <c r="K9" s="221">
        <f>-K8*$C$9</f>
        <v>-376.05020624999992</v>
      </c>
      <c r="L9" s="221"/>
      <c r="M9" s="221">
        <f>-M8*$C$9</f>
        <v>-385.45146140624985</v>
      </c>
      <c r="N9" s="221"/>
      <c r="O9" s="221">
        <f>-O8*$C$9</f>
        <v>-395.08774794140606</v>
      </c>
      <c r="P9" s="221"/>
      <c r="Q9" s="221">
        <f>-Q8*$C$9</f>
        <v>-404.96494163994117</v>
      </c>
      <c r="R9" s="221"/>
      <c r="S9" s="221">
        <f>-S8*$C$9</f>
        <v>-415.08906518093966</v>
      </c>
      <c r="T9" s="221"/>
      <c r="U9" s="221">
        <f>-U8*$C$9</f>
        <v>-425.46629181046313</v>
      </c>
      <c r="V9" s="221"/>
      <c r="W9" s="221">
        <f>-W8*$C$9</f>
        <v>-436.10294910572469</v>
      </c>
      <c r="X9" s="221"/>
      <c r="Y9" s="221">
        <f>-Y8*$C$9</f>
        <v>-447.00552283336776</v>
      </c>
      <c r="Z9" s="221"/>
      <c r="AA9" s="221">
        <f>-AA8*$C$9</f>
        <v>-458.18066090420189</v>
      </c>
      <c r="AB9" s="221"/>
      <c r="AC9" s="221">
        <f>-AC8*$C$9</f>
        <v>-469.63517742680688</v>
      </c>
      <c r="AD9" s="221"/>
      <c r="AE9" s="221">
        <f>-AE8*$C$9</f>
        <v>-481.37605686247701</v>
      </c>
      <c r="AF9" s="221"/>
      <c r="AG9" s="221">
        <f>-AG8*$C$9</f>
        <v>-493.4104582840389</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1228464</v>
      </c>
      <c r="G11" s="223">
        <f ca="1">SUM(G4:G10)</f>
        <v>1269370.0850000002</v>
      </c>
      <c r="I11" s="223">
        <f ca="1">SUM(I4:I10)</f>
        <v>1311700.6451749995</v>
      </c>
      <c r="K11" s="223">
        <f ca="1">SUM(K4:K10)</f>
        <v>1355505.3924001246</v>
      </c>
      <c r="M11" s="223">
        <f ca="1">SUM(M4:M10)</f>
        <v>1400835.7755710091</v>
      </c>
      <c r="O11" s="223">
        <f ca="1">SUM(O4:O10)</f>
        <v>1447745.0413416116</v>
      </c>
      <c r="Q11" s="223">
        <f ca="1">SUM(Q4:Q10)</f>
        <v>1496288.2969866979</v>
      </c>
      <c r="S11" s="223">
        <f ca="1">SUM(S4:S10)</f>
        <v>1546522.5754633253</v>
      </c>
      <c r="U11" s="223">
        <f ca="1">SUM(U4:U10)</f>
        <v>1598506.9027482755</v>
      </c>
      <c r="W11" s="223">
        <f ca="1">SUM(W4:W10)</f>
        <v>1652302.3675310742</v>
      </c>
      <c r="Y11" s="223">
        <f ca="1">SUM(Y4:Y10)</f>
        <v>1707972.1933450028</v>
      </c>
      <c r="AA11" s="223">
        <f ca="1">SUM(AA4:AA10)</f>
        <v>1765581.8132214257</v>
      </c>
      <c r="AC11" s="223">
        <f ca="1">SUM(AC4:AC10)</f>
        <v>1825198.9469557109</v>
      </c>
      <c r="AE11" s="223">
        <f ca="1">SUM(AE4:AE10)</f>
        <v>1886893.6810761266</v>
      </c>
      <c r="AG11" s="223">
        <f ca="1">SUM(AG4:AG10)</f>
        <v>1950738.5516102954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159149</v>
      </c>
      <c r="G15" s="219">
        <f>E15*$C$14</f>
        <v>164719.215</v>
      </c>
      <c r="I15" s="219">
        <f>G15*$C$14</f>
        <v>170484.38752499997</v>
      </c>
      <c r="K15" s="219">
        <f>I15*$C$14</f>
        <v>176451.34108837496</v>
      </c>
      <c r="M15" s="219">
        <f>K15*$C$14</f>
        <v>182627.13802646808</v>
      </c>
      <c r="O15" s="219">
        <f>M15*$C$14</f>
        <v>189019.08785739445</v>
      </c>
      <c r="Q15" s="219">
        <f>O15*$C$14</f>
        <v>195634.75593240323</v>
      </c>
      <c r="S15" s="219">
        <f>Q15*$C$14</f>
        <v>202481.97239003732</v>
      </c>
      <c r="U15" s="219">
        <f>S15*$C$14</f>
        <v>209568.8414236886</v>
      </c>
      <c r="W15" s="219">
        <f>U15*$C$14</f>
        <v>216903.75087351768</v>
      </c>
      <c r="Y15" s="219">
        <f>W15*$C$14</f>
        <v>224495.3821540908</v>
      </c>
      <c r="AA15" s="219">
        <f>Y15*$C$14</f>
        <v>232352.72052948395</v>
      </c>
      <c r="AC15" s="219">
        <f>AA15*$C$14</f>
        <v>240485.06574801588</v>
      </c>
      <c r="AE15" s="219">
        <f>AC15*$C$14</f>
        <v>248902.04304919642</v>
      </c>
      <c r="AG15" s="219">
        <f>AE15*$C$14</f>
        <v>257613.61455591826</v>
      </c>
    </row>
    <row r="16" spans="1:34" s="210" customFormat="1" ht="14.25">
      <c r="A16" s="210" t="s">
        <v>343</v>
      </c>
      <c r="C16" s="233"/>
      <c r="E16" s="222">
        <f>Application!W849</f>
        <v>77988</v>
      </c>
      <c r="F16" s="222"/>
      <c r="G16" s="222">
        <f t="shared" ref="G16:AG21" si="0">E16*$C$14</f>
        <v>80717.579999999987</v>
      </c>
      <c r="H16" s="222"/>
      <c r="I16" s="222">
        <f t="shared" si="0"/>
        <v>83542.695299999978</v>
      </c>
      <c r="J16" s="222"/>
      <c r="K16" s="222">
        <f t="shared" si="0"/>
        <v>86466.689635499977</v>
      </c>
      <c r="L16" s="222"/>
      <c r="M16" s="222">
        <f t="shared" si="0"/>
        <v>89493.023772742468</v>
      </c>
      <c r="N16" s="222"/>
      <c r="O16" s="222">
        <f t="shared" si="0"/>
        <v>92625.279604788448</v>
      </c>
      <c r="P16" s="222"/>
      <c r="Q16" s="222">
        <f t="shared" si="0"/>
        <v>95867.164390956037</v>
      </c>
      <c r="R16" s="222"/>
      <c r="S16" s="222">
        <f t="shared" si="0"/>
        <v>99222.515144639488</v>
      </c>
      <c r="T16" s="222"/>
      <c r="U16" s="222">
        <f t="shared" si="0"/>
        <v>102695.30317470187</v>
      </c>
      <c r="V16" s="222"/>
      <c r="W16" s="222">
        <f t="shared" si="0"/>
        <v>106289.63878581642</v>
      </c>
      <c r="X16" s="222"/>
      <c r="Y16" s="222">
        <f t="shared" si="0"/>
        <v>110009.77614331999</v>
      </c>
      <c r="Z16" s="222"/>
      <c r="AA16" s="222">
        <f t="shared" si="0"/>
        <v>113860.11830833618</v>
      </c>
      <c r="AB16" s="222"/>
      <c r="AC16" s="222">
        <f t="shared" si="0"/>
        <v>117845.22244912793</v>
      </c>
      <c r="AD16" s="222"/>
      <c r="AE16" s="222">
        <f t="shared" si="0"/>
        <v>121969.8052348474</v>
      </c>
      <c r="AF16" s="222"/>
      <c r="AG16" s="222">
        <f t="shared" si="0"/>
        <v>126238.74841806704</v>
      </c>
    </row>
    <row r="17" spans="1:33" s="210" customFormat="1" ht="14.25">
      <c r="A17" s="210" t="s">
        <v>561</v>
      </c>
      <c r="C17" s="233"/>
      <c r="E17" s="222">
        <f>Application!W855</f>
        <v>249553</v>
      </c>
      <c r="F17" s="222"/>
      <c r="G17" s="222">
        <f t="shared" si="0"/>
        <v>258287.35499999998</v>
      </c>
      <c r="H17" s="222"/>
      <c r="I17" s="222">
        <f t="shared" si="0"/>
        <v>267327.41242499999</v>
      </c>
      <c r="J17" s="222"/>
      <c r="K17" s="222">
        <f t="shared" si="0"/>
        <v>276683.87185987498</v>
      </c>
      <c r="L17" s="222"/>
      <c r="M17" s="222">
        <f t="shared" si="0"/>
        <v>286367.80737497058</v>
      </c>
      <c r="N17" s="222"/>
      <c r="O17" s="222">
        <f t="shared" si="0"/>
        <v>296390.68063309451</v>
      </c>
      <c r="P17" s="222"/>
      <c r="Q17" s="222">
        <f t="shared" si="0"/>
        <v>306764.35445525282</v>
      </c>
      <c r="R17" s="222"/>
      <c r="S17" s="222">
        <f t="shared" si="0"/>
        <v>317501.10686118662</v>
      </c>
      <c r="T17" s="222"/>
      <c r="U17" s="222">
        <f t="shared" si="0"/>
        <v>328613.64560132811</v>
      </c>
      <c r="V17" s="222"/>
      <c r="W17" s="222">
        <f t="shared" si="0"/>
        <v>340115.12319737457</v>
      </c>
      <c r="X17" s="222"/>
      <c r="Y17" s="222">
        <f t="shared" si="0"/>
        <v>352019.15250928263</v>
      </c>
      <c r="Z17" s="222"/>
      <c r="AA17" s="222">
        <f t="shared" si="0"/>
        <v>364339.82284710748</v>
      </c>
      <c r="AB17" s="222"/>
      <c r="AC17" s="222">
        <f t="shared" si="0"/>
        <v>377091.71664675622</v>
      </c>
      <c r="AD17" s="222"/>
      <c r="AE17" s="222">
        <f t="shared" si="0"/>
        <v>390289.92672939267</v>
      </c>
      <c r="AF17" s="222"/>
      <c r="AG17" s="222">
        <f t="shared" si="0"/>
        <v>403950.07416492136</v>
      </c>
    </row>
    <row r="18" spans="1:33" s="210" customFormat="1" ht="14.25">
      <c r="A18" s="210" t="s">
        <v>842</v>
      </c>
      <c r="C18" s="233"/>
      <c r="E18" s="222">
        <f>Application!W862</f>
        <v>278120</v>
      </c>
      <c r="F18" s="222"/>
      <c r="G18" s="222">
        <f t="shared" si="0"/>
        <v>287854.19999999995</v>
      </c>
      <c r="H18" s="222"/>
      <c r="I18" s="222">
        <f t="shared" si="0"/>
        <v>297929.09699999995</v>
      </c>
      <c r="J18" s="222"/>
      <c r="K18" s="222">
        <f t="shared" si="0"/>
        <v>308356.61539499991</v>
      </c>
      <c r="L18" s="222"/>
      <c r="M18" s="222">
        <f t="shared" si="0"/>
        <v>319149.09693382488</v>
      </c>
      <c r="N18" s="222"/>
      <c r="O18" s="222">
        <f t="shared" si="0"/>
        <v>330319.31532650872</v>
      </c>
      <c r="P18" s="222"/>
      <c r="Q18" s="222">
        <f t="shared" si="0"/>
        <v>341880.4913629365</v>
      </c>
      <c r="R18" s="222"/>
      <c r="S18" s="222">
        <f t="shared" si="0"/>
        <v>353846.30856063927</v>
      </c>
      <c r="T18" s="222"/>
      <c r="U18" s="222">
        <f t="shared" si="0"/>
        <v>366230.92936026159</v>
      </c>
      <c r="V18" s="222"/>
      <c r="W18" s="222">
        <f t="shared" si="0"/>
        <v>379049.01188787073</v>
      </c>
      <c r="X18" s="222"/>
      <c r="Y18" s="222">
        <f t="shared" si="0"/>
        <v>392315.72730394616</v>
      </c>
      <c r="Z18" s="222"/>
      <c r="AA18" s="222">
        <f t="shared" si="0"/>
        <v>406046.77775958425</v>
      </c>
      <c r="AB18" s="222"/>
      <c r="AC18" s="222">
        <f t="shared" si="0"/>
        <v>420258.41498116968</v>
      </c>
      <c r="AD18" s="222"/>
      <c r="AE18" s="222">
        <f t="shared" si="0"/>
        <v>434967.45950551057</v>
      </c>
      <c r="AF18" s="222"/>
      <c r="AG18" s="222">
        <f t="shared" si="0"/>
        <v>450191.32058820344</v>
      </c>
    </row>
    <row r="19" spans="1:33" s="210" customFormat="1" ht="14.25">
      <c r="A19" s="210" t="s">
        <v>155</v>
      </c>
      <c r="C19" s="233"/>
      <c r="E19" s="222">
        <f>Application!W863</f>
        <v>167857</v>
      </c>
      <c r="F19" s="222"/>
      <c r="G19" s="222">
        <f t="shared" si="0"/>
        <v>173731.995</v>
      </c>
      <c r="H19" s="222"/>
      <c r="I19" s="222">
        <f t="shared" si="0"/>
        <v>179812.61482499997</v>
      </c>
      <c r="J19" s="222"/>
      <c r="K19" s="222">
        <f t="shared" si="0"/>
        <v>186106.05634387495</v>
      </c>
      <c r="L19" s="222"/>
      <c r="M19" s="222">
        <f t="shared" si="0"/>
        <v>192619.76831591057</v>
      </c>
      <c r="N19" s="222"/>
      <c r="O19" s="222">
        <f t="shared" si="0"/>
        <v>199361.46020696743</v>
      </c>
      <c r="P19" s="222"/>
      <c r="Q19" s="222">
        <f t="shared" si="0"/>
        <v>206339.11131421127</v>
      </c>
      <c r="R19" s="222"/>
      <c r="S19" s="222">
        <f t="shared" si="0"/>
        <v>213560.98021020865</v>
      </c>
      <c r="T19" s="222"/>
      <c r="U19" s="222">
        <f t="shared" si="0"/>
        <v>221035.61451756593</v>
      </c>
      <c r="V19" s="222"/>
      <c r="W19" s="222">
        <f t="shared" si="0"/>
        <v>228771.86102568073</v>
      </c>
      <c r="X19" s="222"/>
      <c r="Y19" s="222">
        <f t="shared" si="0"/>
        <v>236778.87616157954</v>
      </c>
      <c r="Z19" s="222"/>
      <c r="AA19" s="222">
        <f t="shared" si="0"/>
        <v>245066.13682723479</v>
      </c>
      <c r="AB19" s="222"/>
      <c r="AC19" s="222">
        <f t="shared" si="0"/>
        <v>253643.45161618799</v>
      </c>
      <c r="AD19" s="222"/>
      <c r="AE19" s="222">
        <f t="shared" si="0"/>
        <v>262520.97242275457</v>
      </c>
      <c r="AF19" s="222"/>
      <c r="AG19" s="222">
        <f t="shared" si="0"/>
        <v>271709.20645755093</v>
      </c>
    </row>
    <row r="20" spans="1:33" s="210" customFormat="1" ht="14.25">
      <c r="A20" s="210" t="s">
        <v>389</v>
      </c>
      <c r="C20" s="233"/>
      <c r="E20" s="222">
        <f>Application!W872</f>
        <v>153593</v>
      </c>
      <c r="F20" s="222"/>
      <c r="G20" s="222">
        <f t="shared" si="0"/>
        <v>158968.75499999998</v>
      </c>
      <c r="H20" s="222"/>
      <c r="I20" s="222">
        <f t="shared" si="0"/>
        <v>164532.66142499997</v>
      </c>
      <c r="J20" s="222"/>
      <c r="K20" s="222">
        <f t="shared" si="0"/>
        <v>170291.30457487496</v>
      </c>
      <c r="L20" s="222"/>
      <c r="M20" s="222">
        <f t="shared" si="0"/>
        <v>176251.50023499556</v>
      </c>
      <c r="N20" s="222"/>
      <c r="O20" s="222">
        <f t="shared" si="0"/>
        <v>182420.30274322038</v>
      </c>
      <c r="P20" s="222"/>
      <c r="Q20" s="222">
        <f t="shared" si="0"/>
        <v>188805.01333923309</v>
      </c>
      <c r="R20" s="222"/>
      <c r="S20" s="222">
        <f t="shared" si="0"/>
        <v>195413.18880610622</v>
      </c>
      <c r="T20" s="222"/>
      <c r="U20" s="222">
        <f t="shared" si="0"/>
        <v>202252.65041431991</v>
      </c>
      <c r="V20" s="222"/>
      <c r="W20" s="222">
        <f t="shared" si="0"/>
        <v>209331.49317882108</v>
      </c>
      <c r="X20" s="222"/>
      <c r="Y20" s="222">
        <f t="shared" si="0"/>
        <v>216658.09544007981</v>
      </c>
      <c r="Z20" s="222"/>
      <c r="AA20" s="222">
        <f t="shared" si="0"/>
        <v>224241.12878048257</v>
      </c>
      <c r="AB20" s="222"/>
      <c r="AC20" s="222">
        <f t="shared" si="0"/>
        <v>232089.56828779945</v>
      </c>
      <c r="AD20" s="222"/>
      <c r="AE20" s="222">
        <f t="shared" si="0"/>
        <v>240212.7031778724</v>
      </c>
      <c r="AF20" s="222"/>
      <c r="AG20" s="222">
        <f t="shared" si="0"/>
        <v>248620.14778909791</v>
      </c>
    </row>
    <row r="21" spans="1:33" s="210" customFormat="1" ht="14.25">
      <c r="A21" s="226" t="s">
        <v>962</v>
      </c>
      <c r="B21" s="226"/>
      <c r="C21" s="233"/>
      <c r="E21" s="232">
        <f>Application!W879</f>
        <v>9699</v>
      </c>
      <c r="F21" s="222"/>
      <c r="G21" s="232">
        <f t="shared" si="0"/>
        <v>10038.464999999998</v>
      </c>
      <c r="H21" s="222"/>
      <c r="I21" s="232">
        <f t="shared" si="0"/>
        <v>10389.811274999998</v>
      </c>
      <c r="J21" s="222"/>
      <c r="K21" s="232">
        <f t="shared" si="0"/>
        <v>10753.454669624998</v>
      </c>
      <c r="L21" s="222"/>
      <c r="M21" s="232">
        <f t="shared" si="0"/>
        <v>11129.825583061873</v>
      </c>
      <c r="N21" s="222"/>
      <c r="O21" s="232">
        <f t="shared" si="0"/>
        <v>11519.369478469038</v>
      </c>
      <c r="P21" s="222"/>
      <c r="Q21" s="232">
        <f t="shared" si="0"/>
        <v>11922.547410215453</v>
      </c>
      <c r="R21" s="222"/>
      <c r="S21" s="232">
        <f t="shared" si="0"/>
        <v>12339.836569572994</v>
      </c>
      <c r="T21" s="222"/>
      <c r="U21" s="232">
        <f t="shared" si="0"/>
        <v>12771.730849508047</v>
      </c>
      <c r="V21" s="222"/>
      <c r="W21" s="232">
        <f t="shared" si="0"/>
        <v>13218.741429240828</v>
      </c>
      <c r="X21" s="222"/>
      <c r="Y21" s="232">
        <f t="shared" si="0"/>
        <v>13681.397379264256</v>
      </c>
      <c r="Z21" s="222"/>
      <c r="AA21" s="232">
        <f t="shared" si="0"/>
        <v>14160.246287538503</v>
      </c>
      <c r="AB21" s="222"/>
      <c r="AC21" s="232">
        <f t="shared" si="0"/>
        <v>14655.854907602348</v>
      </c>
      <c r="AD21" s="222"/>
      <c r="AE21" s="232">
        <f t="shared" si="0"/>
        <v>15168.809829368429</v>
      </c>
      <c r="AF21" s="222"/>
      <c r="AG21" s="232">
        <f t="shared" si="0"/>
        <v>15699.718173396323</v>
      </c>
    </row>
    <row r="22" spans="1:33" s="223" customFormat="1" ht="15">
      <c r="A22" s="223" t="s">
        <v>843</v>
      </c>
      <c r="C22" s="233"/>
      <c r="E22" s="223">
        <f>SUM(E15:E21)</f>
        <v>1095959</v>
      </c>
      <c r="G22" s="223">
        <f>SUM(G15:G21)</f>
        <v>1134317.5649999999</v>
      </c>
      <c r="I22" s="223">
        <f>SUM(I15:I21)</f>
        <v>1174018.6797749999</v>
      </c>
      <c r="K22" s="223">
        <f>SUM(K15:K21)</f>
        <v>1215109.3335671248</v>
      </c>
      <c r="M22" s="223">
        <f>SUM(M15:M21)</f>
        <v>1257638.1602419741</v>
      </c>
      <c r="O22" s="223">
        <f>SUM(O15:O21)</f>
        <v>1301655.4958504429</v>
      </c>
      <c r="Q22" s="223">
        <f>SUM(Q15:Q21)</f>
        <v>1347213.4382052084</v>
      </c>
      <c r="S22" s="223">
        <f>SUM(S15:S21)</f>
        <v>1394365.9085423907</v>
      </c>
      <c r="U22" s="223">
        <f>SUM(U15:U21)</f>
        <v>1443168.7153413738</v>
      </c>
      <c r="W22" s="223">
        <f>SUM(W15:W21)</f>
        <v>1493679.6203783222</v>
      </c>
      <c r="Y22" s="223">
        <f>SUM(Y15:Y21)</f>
        <v>1545958.4070915631</v>
      </c>
      <c r="AA22" s="223">
        <f>SUM(AA15:AA21)</f>
        <v>1600066.9513397675</v>
      </c>
      <c r="AC22" s="223">
        <f>SUM(AC15:AC21)</f>
        <v>1656069.2946366593</v>
      </c>
      <c r="AE22" s="223">
        <f>SUM(AE15:AE21)</f>
        <v>1714031.7199489425</v>
      </c>
      <c r="AG22" s="223">
        <f>SUM(AG15:AG21)</f>
        <v>1774022.8301471551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55000</v>
      </c>
      <c r="F27" s="222"/>
      <c r="G27" s="222">
        <f>E27*$C$27</f>
        <v>56924.999999999993</v>
      </c>
      <c r="H27" s="222"/>
      <c r="I27" s="222">
        <f>G27*$C$27</f>
        <v>58917.374999999985</v>
      </c>
      <c r="J27" s="222"/>
      <c r="K27" s="222">
        <f>I27*$C$27</f>
        <v>60979.483124999977</v>
      </c>
      <c r="L27" s="222"/>
      <c r="M27" s="222">
        <f>K27*$C$27</f>
        <v>63113.76503437497</v>
      </c>
      <c r="N27" s="222"/>
      <c r="O27" s="222">
        <f>M27*$C$27</f>
        <v>65322.746810578086</v>
      </c>
      <c r="P27" s="222"/>
      <c r="Q27" s="222">
        <f>O27*$C$27</f>
        <v>67609.042948948321</v>
      </c>
      <c r="R27" s="222"/>
      <c r="S27" s="222">
        <f>Q27*$C$27</f>
        <v>69975.359452161501</v>
      </c>
      <c r="T27" s="222"/>
      <c r="U27" s="222">
        <f>S27*$C$27</f>
        <v>72424.497032987143</v>
      </c>
      <c r="V27" s="222"/>
      <c r="W27" s="222">
        <f>U27*$C$27</f>
        <v>74959.354429141691</v>
      </c>
      <c r="X27" s="222"/>
      <c r="Y27" s="222">
        <f>W27*$C$27</f>
        <v>77582.931834161645</v>
      </c>
      <c r="Z27" s="222"/>
      <c r="AA27" s="222">
        <f>Y27*$C$27</f>
        <v>80298.334448357302</v>
      </c>
      <c r="AB27" s="222"/>
      <c r="AC27" s="222">
        <f>AA27*$C$27</f>
        <v>83108.776154049803</v>
      </c>
      <c r="AD27" s="222"/>
      <c r="AE27" s="222">
        <f>AC27*$C$27</f>
        <v>86017.583319441546</v>
      </c>
      <c r="AF27" s="222"/>
      <c r="AG27" s="222">
        <f>AE27*$C$27</f>
        <v>89028.198735621991</v>
      </c>
    </row>
    <row r="28" spans="1:33" s="210" customFormat="1" ht="14.25">
      <c r="A28" s="210" t="s">
        <v>846</v>
      </c>
      <c r="C28" s="237"/>
      <c r="E28" s="222">
        <f>Application!AC889</f>
        <v>48000</v>
      </c>
      <c r="F28" s="222"/>
      <c r="G28" s="222">
        <f>$E$28</f>
        <v>48000</v>
      </c>
      <c r="H28" s="222"/>
      <c r="I28" s="222">
        <f>$E$28</f>
        <v>48000</v>
      </c>
      <c r="J28" s="222"/>
      <c r="K28" s="222">
        <f>$E$28</f>
        <v>48000</v>
      </c>
      <c r="L28" s="222"/>
      <c r="M28" s="222">
        <f>$E$28</f>
        <v>48000</v>
      </c>
      <c r="N28" s="222"/>
      <c r="O28" s="222">
        <f>$E$28</f>
        <v>48000</v>
      </c>
      <c r="P28" s="222"/>
      <c r="Q28" s="222">
        <f>$E$28</f>
        <v>48000</v>
      </c>
      <c r="R28" s="222"/>
      <c r="S28" s="222">
        <f>$E$28</f>
        <v>48000</v>
      </c>
      <c r="T28" s="222"/>
      <c r="U28" s="222">
        <f>$E$28</f>
        <v>48000</v>
      </c>
      <c r="V28" s="222"/>
      <c r="W28" s="222">
        <f>$E$28</f>
        <v>48000</v>
      </c>
      <c r="X28" s="222"/>
      <c r="Y28" s="222">
        <f>$E$28</f>
        <v>48000</v>
      </c>
      <c r="Z28" s="222"/>
      <c r="AA28" s="222">
        <f>$E$28</f>
        <v>48000</v>
      </c>
      <c r="AB28" s="222"/>
      <c r="AC28" s="222">
        <f>$E$28</f>
        <v>48000</v>
      </c>
      <c r="AD28" s="222"/>
      <c r="AE28" s="222">
        <f>$E$28</f>
        <v>48000</v>
      </c>
      <c r="AF28" s="222"/>
      <c r="AG28" s="222">
        <f>$E$28</f>
        <v>48000</v>
      </c>
    </row>
    <row r="29" spans="1:33" s="210" customFormat="1" ht="14.25">
      <c r="A29" s="210" t="s">
        <v>1680</v>
      </c>
      <c r="C29" s="237"/>
      <c r="E29" s="222">
        <f>Application!AC890</f>
        <v>1378</v>
      </c>
      <c r="F29" s="222"/>
      <c r="G29" s="222">
        <f>$E$29</f>
        <v>1378</v>
      </c>
      <c r="H29" s="222"/>
      <c r="I29" s="222">
        <f>$E$29</f>
        <v>1378</v>
      </c>
      <c r="J29" s="222"/>
      <c r="K29" s="222">
        <f>$E$29</f>
        <v>1378</v>
      </c>
      <c r="L29" s="222"/>
      <c r="M29" s="222">
        <f>$E$29</f>
        <v>1378</v>
      </c>
      <c r="N29" s="222"/>
      <c r="O29" s="222">
        <f>$E$29</f>
        <v>1378</v>
      </c>
      <c r="P29" s="222"/>
      <c r="Q29" s="222">
        <f>$E$29</f>
        <v>1378</v>
      </c>
      <c r="R29" s="222"/>
      <c r="S29" s="222">
        <f>$E$29</f>
        <v>1378</v>
      </c>
      <c r="T29" s="222"/>
      <c r="U29" s="222">
        <f>$E$29</f>
        <v>1378</v>
      </c>
      <c r="V29" s="222"/>
      <c r="W29" s="222">
        <f>$E$29</f>
        <v>1378</v>
      </c>
      <c r="X29" s="222"/>
      <c r="Y29" s="222">
        <f>$E$29</f>
        <v>1378</v>
      </c>
      <c r="Z29" s="222"/>
      <c r="AA29" s="222">
        <f>$E$29</f>
        <v>1378</v>
      </c>
      <c r="AB29" s="222"/>
      <c r="AC29" s="222">
        <f>$E$29</f>
        <v>1378</v>
      </c>
      <c r="AD29" s="222"/>
      <c r="AE29" s="222">
        <f>$E$29</f>
        <v>1378</v>
      </c>
      <c r="AF29" s="222"/>
      <c r="AG29" s="222">
        <f>$E$29</f>
        <v>1378</v>
      </c>
    </row>
    <row r="30" spans="1:33" s="210" customFormat="1" ht="14.25">
      <c r="A30" s="210" t="s">
        <v>844</v>
      </c>
      <c r="C30" s="237">
        <v>1.02</v>
      </c>
      <c r="E30" s="222">
        <f>Application!AC891</f>
        <v>24126</v>
      </c>
      <c r="F30" s="222"/>
      <c r="G30" s="222">
        <f>E30*$C$30</f>
        <v>24608.52</v>
      </c>
      <c r="H30" s="222"/>
      <c r="I30" s="222">
        <f>G30*$C$30</f>
        <v>25100.690399999999</v>
      </c>
      <c r="J30" s="222"/>
      <c r="K30" s="222">
        <f>I30*$C$30</f>
        <v>25602.704207999999</v>
      </c>
      <c r="L30" s="222"/>
      <c r="M30" s="222">
        <f>K30*$C$30</f>
        <v>26114.758292160001</v>
      </c>
      <c r="N30" s="222"/>
      <c r="O30" s="222">
        <f>M30*$C$30</f>
        <v>26637.0534580032</v>
      </c>
      <c r="P30" s="222"/>
      <c r="Q30" s="222">
        <f>O30*$C$30</f>
        <v>27169.794527163263</v>
      </c>
      <c r="R30" s="222"/>
      <c r="S30" s="222">
        <f>Q30*$C$30</f>
        <v>27713.19041770653</v>
      </c>
      <c r="T30" s="222"/>
      <c r="U30" s="222">
        <f>S30*$C$30</f>
        <v>28267.454226060661</v>
      </c>
      <c r="V30" s="222"/>
      <c r="W30" s="222">
        <f>U30*$C$30</f>
        <v>28832.803310581876</v>
      </c>
      <c r="X30" s="222"/>
      <c r="Y30" s="222">
        <f>W30*$C$30</f>
        <v>29409.459376793515</v>
      </c>
      <c r="Z30" s="222"/>
      <c r="AA30" s="222">
        <f>Y30*$C$30</f>
        <v>29997.648564329385</v>
      </c>
      <c r="AB30" s="222"/>
      <c r="AC30" s="222">
        <f>AA30*$C$30</f>
        <v>30597.601535615973</v>
      </c>
      <c r="AD30" s="222"/>
      <c r="AE30" s="222">
        <f>AC30*$C$30</f>
        <v>31209.553566328294</v>
      </c>
      <c r="AF30" s="222"/>
      <c r="AG30" s="222">
        <f>AE30*$C$30</f>
        <v>31833.744637654861</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 Bond Compliance Fee</v>
      </c>
      <c r="C32" s="316">
        <v>1.0349999999999999</v>
      </c>
      <c r="E32" s="222">
        <f>Application!AC894</f>
        <v>4000</v>
      </c>
      <c r="F32" s="222"/>
      <c r="G32" s="222">
        <f>E32*$C$32</f>
        <v>4140</v>
      </c>
      <c r="H32" s="222"/>
      <c r="I32" s="222">
        <f>G32*$C$32</f>
        <v>4284.8999999999996</v>
      </c>
      <c r="J32" s="222"/>
      <c r="K32" s="222">
        <f>I32*$C$32</f>
        <v>4434.8714999999993</v>
      </c>
      <c r="L32" s="222"/>
      <c r="M32" s="222">
        <f>K32*$C$32</f>
        <v>4590.0920024999987</v>
      </c>
      <c r="N32" s="222"/>
      <c r="O32" s="222">
        <f>M32*$C$32</f>
        <v>4750.7452225874986</v>
      </c>
      <c r="P32" s="222"/>
      <c r="Q32" s="222">
        <f>O32*$C$32</f>
        <v>4917.0213053780608</v>
      </c>
      <c r="R32" s="222"/>
      <c r="S32" s="222">
        <f>Q32*$C$32</f>
        <v>5089.1170510662923</v>
      </c>
      <c r="T32" s="222"/>
      <c r="U32" s="222">
        <f>S32*$C$32</f>
        <v>5267.2361478536122</v>
      </c>
      <c r="V32" s="222"/>
      <c r="W32" s="222">
        <f>U32*$C$32</f>
        <v>5451.5894130284878</v>
      </c>
      <c r="X32" s="222"/>
      <c r="Y32" s="222">
        <f>W32*$C$32</f>
        <v>5642.3950424844843</v>
      </c>
      <c r="Z32" s="222"/>
      <c r="AA32" s="222">
        <f>Y32*$C$32</f>
        <v>5839.8788689714411</v>
      </c>
      <c r="AB32" s="222"/>
      <c r="AC32" s="222">
        <f>AA32*$C$32</f>
        <v>6044.2746293854407</v>
      </c>
      <c r="AD32" s="222"/>
      <c r="AE32" s="222">
        <f>AC32*$C$32</f>
        <v>6255.8242414139304</v>
      </c>
      <c r="AF32" s="222"/>
      <c r="AG32" s="222">
        <f>AE32*$C$32</f>
        <v>6474.7780898634173</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1228463</v>
      </c>
      <c r="G35" s="223">
        <f>SUM(G22:G33)</f>
        <v>1269369.085</v>
      </c>
      <c r="I35" s="223">
        <f>SUM(I22:I33)</f>
        <v>1311699.6451749997</v>
      </c>
      <c r="K35" s="223">
        <f>SUM(K22:K33)</f>
        <v>1355504.3924001248</v>
      </c>
      <c r="M35" s="223">
        <f>SUM(M22:M33)</f>
        <v>1400834.7755710091</v>
      </c>
      <c r="O35" s="223">
        <f>SUM(O22:O33)</f>
        <v>1447744.0413416116</v>
      </c>
      <c r="Q35" s="223">
        <f>SUM(Q22:Q33)</f>
        <v>1496287.2969866979</v>
      </c>
      <c r="S35" s="223">
        <f>SUM(S22:S33)</f>
        <v>1546521.575463325</v>
      </c>
      <c r="U35" s="223">
        <f>SUM(U22:U33)</f>
        <v>1598505.9027482753</v>
      </c>
      <c r="W35" s="223">
        <f>SUM(W22:W33)</f>
        <v>1652301.3675310742</v>
      </c>
      <c r="Y35" s="223">
        <f>SUM(Y22:Y33)</f>
        <v>1707971.1933450028</v>
      </c>
      <c r="AA35" s="223">
        <f>SUM(AA22:AA33)</f>
        <v>1765580.8132214257</v>
      </c>
      <c r="AC35" s="223">
        <f>SUM(AC22:AC33)</f>
        <v>1825197.9469557106</v>
      </c>
      <c r="AE35" s="223">
        <f>SUM(AE22:AE33)</f>
        <v>1886892.6810761264</v>
      </c>
      <c r="AG35" s="223">
        <f>SUM(AG22:AG33)</f>
        <v>1950737.5516102954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v>
      </c>
      <c r="G37" s="223">
        <f ca="1">G11-G35</f>
        <v>1.0000000002328306</v>
      </c>
      <c r="I37" s="223">
        <f ca="1">I11-I35</f>
        <v>0.99999999976716936</v>
      </c>
      <c r="K37" s="223">
        <f ca="1">K11-K35</f>
        <v>0.99999999976716936</v>
      </c>
      <c r="M37" s="223">
        <f ca="1">M11-M35</f>
        <v>1</v>
      </c>
      <c r="O37" s="223">
        <f ca="1">O11-O35</f>
        <v>1</v>
      </c>
      <c r="Q37" s="223">
        <f ca="1">Q11-Q35</f>
        <v>1</v>
      </c>
      <c r="S37" s="223">
        <f ca="1">S11-S35</f>
        <v>1.0000000002328306</v>
      </c>
      <c r="U37" s="223">
        <f ca="1">U11-U35</f>
        <v>1.0000000002328306</v>
      </c>
      <c r="W37" s="223">
        <f ca="1">W11-W35</f>
        <v>1</v>
      </c>
      <c r="Y37" s="223">
        <f ca="1">Y11-Y35</f>
        <v>1</v>
      </c>
      <c r="AA37" s="223">
        <f ca="1">AA11-AA35</f>
        <v>1</v>
      </c>
      <c r="AC37" s="223">
        <f ca="1">AC11-AC35</f>
        <v>1.0000000002328306</v>
      </c>
      <c r="AE37" s="223">
        <f ca="1">AE11-AE35</f>
        <v>1.0000000002328306</v>
      </c>
      <c r="AG37" s="223">
        <f ca="1">AG11-AG35</f>
        <v>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HUD 202 Capital Advance (Sponsor Loan)</v>
      </c>
      <c r="B40" s="226"/>
      <c r="C40" s="220"/>
      <c r="E40" s="222">
        <f>Application!AF627</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v>
      </c>
      <c r="G45" s="223">
        <f ca="1">G37-G43</f>
        <v>1.0000000002328306</v>
      </c>
      <c r="I45" s="223">
        <f ca="1">I37-I43</f>
        <v>0.99999999976716936</v>
      </c>
      <c r="K45" s="223">
        <f ca="1">K37-K43</f>
        <v>0.99999999976716936</v>
      </c>
      <c r="M45" s="223">
        <f ca="1">M37-M43</f>
        <v>1</v>
      </c>
      <c r="O45" s="223">
        <f ca="1">O37-O43</f>
        <v>1</v>
      </c>
      <c r="Q45" s="223">
        <f ca="1">Q37-Q43</f>
        <v>1</v>
      </c>
      <c r="S45" s="223">
        <f ca="1">S37-S43</f>
        <v>1.0000000002328306</v>
      </c>
      <c r="U45" s="223">
        <f ca="1">U37-U43</f>
        <v>1.0000000002328306</v>
      </c>
      <c r="W45" s="223">
        <f ca="1">W37-W43</f>
        <v>1</v>
      </c>
      <c r="Y45" s="223">
        <f ca="1">Y37-Y43</f>
        <v>1</v>
      </c>
      <c r="AA45" s="223">
        <f ca="1">AA37-AA43</f>
        <v>1</v>
      </c>
      <c r="AC45" s="223">
        <f ca="1">AC37-AC43</f>
        <v>1.0000000002328306</v>
      </c>
      <c r="AE45" s="223">
        <f ca="1">AE37-AE43</f>
        <v>1.0000000002328306</v>
      </c>
      <c r="AG45" s="223">
        <f ca="1">AG37-AG43</f>
        <v>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7.7332343479336797E-7</v>
      </c>
      <c r="G47" s="227">
        <f ca="1">G45/(G4+G6+G8)</f>
        <v>7.4840270103040039E-7</v>
      </c>
      <c r="I47" s="227">
        <f ca="1">I45/(I4+I6+I8)</f>
        <v>7.2425061562127039E-7</v>
      </c>
      <c r="K47" s="227">
        <f ca="1">K45/(K4+K6+K8)</f>
        <v>7.0084560718470758E-7</v>
      </c>
      <c r="M47" s="227">
        <f ca="1">M45/(M4+M6+M8)</f>
        <v>6.7816657495969553E-7</v>
      </c>
      <c r="O47" s="227">
        <f ca="1">O45/(O4+O6+O8)</f>
        <v>6.5619288816188525E-7</v>
      </c>
      <c r="Q47" s="227">
        <f ca="1">Q45/(Q4+Q6+Q8)</f>
        <v>6.3490438434435317E-7</v>
      </c>
      <c r="S47" s="227">
        <f ca="1">S45/(S4+S6+S8)</f>
        <v>6.1428136601017747E-7</v>
      </c>
      <c r="U47" s="227">
        <f ca="1">U45/(U4+U6+U8)</f>
        <v>5.943045967382914E-7</v>
      </c>
      <c r="W47" s="227">
        <f ca="1">W45/(W4+W6+W8)</f>
        <v>5.7495529793346604E-7</v>
      </c>
      <c r="Y47" s="227">
        <f ca="1">Y45/(Y4+Y6+Y8)</f>
        <v>5.5621514431066866E-7</v>
      </c>
      <c r="AA47" s="227">
        <f ca="1">AA45/(AA4+AA6+AA8)</f>
        <v>5.3806625832119307E-7</v>
      </c>
      <c r="AC47" s="227">
        <f ca="1">AC45/(AC4+AC6+AC8)</f>
        <v>5.2049120552349368E-7</v>
      </c>
      <c r="AE47" s="227">
        <f ca="1">AE45/(AE4+AE6+AE8)</f>
        <v>5.0347298830286434E-7</v>
      </c>
      <c r="AG47" s="227">
        <f ca="1">AG45/(AG4+AG6+AG8)</f>
        <v>4.8699504052749365E-7</v>
      </c>
    </row>
    <row r="48" spans="1:33" s="227" customFormat="1" ht="14.25">
      <c r="A48" s="227" t="s">
        <v>852</v>
      </c>
      <c r="C48" s="220"/>
      <c r="E48" s="227" t="e">
        <f>E45/E43</f>
        <v>#DIV/0!</v>
      </c>
      <c r="G48" s="227" t="e">
        <f ca="1">G45/G43</f>
        <v>#DIV/0!</v>
      </c>
      <c r="I48" s="227" t="e">
        <f ca="1">I45/I43</f>
        <v>#DIV/0!</v>
      </c>
      <c r="K48" s="227" t="e">
        <f ca="1">K45/K43</f>
        <v>#DIV/0!</v>
      </c>
      <c r="M48" s="227" t="e">
        <f ca="1">M45/M43</f>
        <v>#DIV/0!</v>
      </c>
      <c r="O48" s="227" t="e">
        <f ca="1">O45/O43</f>
        <v>#DIV/0!</v>
      </c>
      <c r="Q48" s="227" t="e">
        <f ca="1">Q45/Q43</f>
        <v>#DIV/0!</v>
      </c>
      <c r="S48" s="227" t="e">
        <f ca="1">S45/S43</f>
        <v>#DIV/0!</v>
      </c>
      <c r="U48" s="227" t="e">
        <f ca="1">U45/U43</f>
        <v>#DIV/0!</v>
      </c>
      <c r="W48" s="227" t="e">
        <f ca="1">W45/W43</f>
        <v>#DIV/0!</v>
      </c>
      <c r="Y48" s="227" t="e">
        <f ca="1">Y45/Y43</f>
        <v>#DIV/0!</v>
      </c>
      <c r="AA48" s="227" t="e">
        <f ca="1">AA45/AA43</f>
        <v>#DIV/0!</v>
      </c>
      <c r="AC48" s="227" t="e">
        <f ca="1">AC45/AC43</f>
        <v>#DIV/0!</v>
      </c>
      <c r="AE48" s="227" t="e">
        <f ca="1">AE45/AE43</f>
        <v>#DIV/0!</v>
      </c>
      <c r="AG48" s="227" t="e">
        <f ca="1">AG45/AG43</f>
        <v>#DIV/0!</v>
      </c>
    </row>
    <row r="49" spans="1:34" s="228" customFormat="1" ht="14.25">
      <c r="A49" s="228" t="s">
        <v>850</v>
      </c>
      <c r="C49" s="229"/>
      <c r="E49" s="228" t="e">
        <f>E37/E43</f>
        <v>#DIV/0!</v>
      </c>
      <c r="G49" s="228" t="e">
        <f ca="1">G37/G43</f>
        <v>#DIV/0!</v>
      </c>
      <c r="I49" s="228" t="e">
        <f ca="1">I37/I43</f>
        <v>#DIV/0!</v>
      </c>
      <c r="K49" s="228" t="e">
        <f ca="1">K37/K43</f>
        <v>#DIV/0!</v>
      </c>
      <c r="M49" s="228" t="e">
        <f ca="1">M37/M43</f>
        <v>#DIV/0!</v>
      </c>
      <c r="O49" s="228" t="e">
        <f ca="1">O37/O43</f>
        <v>#DIV/0!</v>
      </c>
      <c r="Q49" s="228" t="e">
        <f ca="1">Q37/Q43</f>
        <v>#DIV/0!</v>
      </c>
      <c r="S49" s="228" t="e">
        <f ca="1">S37/S43</f>
        <v>#DIV/0!</v>
      </c>
      <c r="U49" s="228" t="e">
        <f ca="1">U37/U43</f>
        <v>#DIV/0!</v>
      </c>
      <c r="W49" s="228" t="e">
        <f ca="1">W37/W43</f>
        <v>#DIV/0!</v>
      </c>
      <c r="Y49" s="228" t="e">
        <f ca="1">Y37/Y43</f>
        <v>#DIV/0!</v>
      </c>
      <c r="AA49" s="228" t="e">
        <f ca="1">AA37/AA43</f>
        <v>#DIV/0!</v>
      </c>
      <c r="AC49" s="228" t="e">
        <f ca="1">AC37/AC43</f>
        <v>#DIV/0!</v>
      </c>
      <c r="AE49" s="228" t="e">
        <f ca="1">AE37/AE43</f>
        <v>#DIV/0!</v>
      </c>
      <c r="AG49" s="228" t="e">
        <f ca="1">AG37/AG43</f>
        <v>#DIV/0!</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1184</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v>
      </c>
      <c r="G60" s="962">
        <f ca="1">G45-G58</f>
        <v>1.0000000002328306</v>
      </c>
      <c r="I60" s="962">
        <f ca="1">I45-I58</f>
        <v>0.99999999976716936</v>
      </c>
      <c r="K60" s="962">
        <f ca="1">K45-K58</f>
        <v>0.99999999976716936</v>
      </c>
      <c r="M60" s="962">
        <f ca="1">M45-M58</f>
        <v>1</v>
      </c>
      <c r="O60" s="962">
        <f ca="1">O45-O58</f>
        <v>1</v>
      </c>
      <c r="Q60" s="962">
        <f ca="1">Q45-Q58</f>
        <v>1</v>
      </c>
      <c r="S60" s="962">
        <f ca="1">S45-S58</f>
        <v>1.0000000002328306</v>
      </c>
      <c r="U60" s="962">
        <f ca="1">U45-U58</f>
        <v>1.0000000002328306</v>
      </c>
      <c r="W60" s="962">
        <f ca="1">W45-W58</f>
        <v>1</v>
      </c>
      <c r="Y60" s="962">
        <f ca="1">Y45-Y58</f>
        <v>1</v>
      </c>
      <c r="AA60" s="962">
        <f ca="1">AA45-AA58</f>
        <v>1</v>
      </c>
      <c r="AC60" s="962">
        <f ca="1">AC45-AC58</f>
        <v>1.0000000002328306</v>
      </c>
      <c r="AE60" s="962">
        <f ca="1">AE45-AE58</f>
        <v>1.0000000002328306</v>
      </c>
      <c r="AG60" s="962">
        <f ca="1">AG45-AG58</f>
        <v>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0.5</v>
      </c>
      <c r="G62" s="962">
        <f ca="1">G60*$C$62</f>
        <v>0.50000000011641532</v>
      </c>
      <c r="I62" s="962">
        <f ca="1">I60*$C$62</f>
        <v>0.49999999988358468</v>
      </c>
      <c r="K62" s="962">
        <f ca="1">K60*$C$62</f>
        <v>0.49999999988358468</v>
      </c>
      <c r="M62" s="962">
        <f ca="1">M60*$C$62</f>
        <v>0.5</v>
      </c>
      <c r="O62" s="962">
        <f ca="1">O60*$C$62</f>
        <v>0.5</v>
      </c>
      <c r="Q62" s="962">
        <f ca="1">Q60*$C$62</f>
        <v>0.5</v>
      </c>
      <c r="S62" s="962">
        <f ca="1">S60*$C$62</f>
        <v>0.50000000011641532</v>
      </c>
      <c r="U62" s="962">
        <f ca="1">U60*$C$62</f>
        <v>0.50000000011641532</v>
      </c>
      <c r="W62" s="962">
        <f ca="1">W60*$C$62</f>
        <v>0.5</v>
      </c>
      <c r="Y62" s="962">
        <f ca="1">Y60*$C$62</f>
        <v>0.5</v>
      </c>
      <c r="AA62" s="962">
        <f ca="1">AA60*$C$62</f>
        <v>0.5</v>
      </c>
      <c r="AC62" s="962">
        <f ca="1">AC60*$C$62</f>
        <v>0.50000000011641532</v>
      </c>
      <c r="AE62" s="962">
        <f ca="1">AE60*$C$62</f>
        <v>0.50000000011641532</v>
      </c>
      <c r="AG62" s="962">
        <f ca="1">AG60*$C$62</f>
        <v>0.5</v>
      </c>
    </row>
    <row r="63" spans="1:34" s="962" customFormat="1">
      <c r="A63" s="2691" t="s">
        <v>1184</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0.25</v>
      </c>
      <c r="G66" s="960">
        <f ca="1">G60*$C$65</f>
        <v>0.25000000005820766</v>
      </c>
      <c r="I66" s="960">
        <f ca="1">I60*$C$65</f>
        <v>0.24999999994179234</v>
      </c>
      <c r="K66" s="960">
        <f ca="1">K60*$C$65</f>
        <v>0.24999999994179234</v>
      </c>
      <c r="M66" s="960">
        <f ca="1">M60*$C$65</f>
        <v>0.25</v>
      </c>
      <c r="O66" s="960">
        <f ca="1">O60*$C$65</f>
        <v>0.25</v>
      </c>
      <c r="Q66" s="960">
        <f ca="1">Q60*$C$65</f>
        <v>0.25</v>
      </c>
      <c r="S66" s="960">
        <f ca="1">S60*$C$65</f>
        <v>0.25000000005820766</v>
      </c>
      <c r="U66" s="960">
        <f ca="1">U60*$C$65</f>
        <v>0.25000000005820766</v>
      </c>
      <c r="W66" s="960">
        <f ca="1">W60*$C$65</f>
        <v>0.25</v>
      </c>
      <c r="Y66" s="960">
        <f ca="1">Y60*$C$65</f>
        <v>0.25</v>
      </c>
      <c r="AA66" s="960">
        <f ca="1">AA60*$C$65</f>
        <v>0.25</v>
      </c>
      <c r="AC66" s="960">
        <f ca="1">AC60*$C$65</f>
        <v>0.25000000005820766</v>
      </c>
      <c r="AE66" s="960">
        <f ca="1">AE60*$C$65</f>
        <v>0.25000000005820766</v>
      </c>
      <c r="AG66" s="960">
        <f ca="1">AG60*$C$65</f>
        <v>0.25</v>
      </c>
    </row>
    <row r="67" spans="1:34" s="960" customFormat="1">
      <c r="A67" s="965"/>
      <c r="B67" s="965"/>
      <c r="C67" s="970"/>
      <c r="E67" s="964">
        <f>$E60*$C$65</f>
        <v>0.25</v>
      </c>
      <c r="G67" s="960">
        <f ca="1">G60*$C$65</f>
        <v>0.25000000005820766</v>
      </c>
      <c r="I67" s="960">
        <f ca="1">I60*$C$65</f>
        <v>0.24999999994179234</v>
      </c>
      <c r="K67" s="960">
        <f ca="1">K60*$C$65</f>
        <v>0.24999999994179234</v>
      </c>
      <c r="M67" s="960">
        <f ca="1">M60*$C$65</f>
        <v>0.25</v>
      </c>
      <c r="O67" s="960">
        <f ca="1">O60*$C$65</f>
        <v>0.25</v>
      </c>
      <c r="Q67" s="960">
        <f ca="1">Q60*$C$65</f>
        <v>0.25</v>
      </c>
      <c r="S67" s="960">
        <f ca="1">S60*$C$65</f>
        <v>0.25000000005820766</v>
      </c>
      <c r="U67" s="960">
        <f ca="1">U60*$C$65</f>
        <v>0.25000000005820766</v>
      </c>
      <c r="W67" s="960">
        <f ca="1">W60*$C$65</f>
        <v>0.25</v>
      </c>
      <c r="Y67" s="960">
        <f ca="1">Y60*$C$65</f>
        <v>0.25</v>
      </c>
      <c r="AA67" s="960">
        <f ca="1">AA60*$C$65</f>
        <v>0.25</v>
      </c>
      <c r="AC67" s="960">
        <f ca="1">AC60*$C$65</f>
        <v>0.25000000005820766</v>
      </c>
      <c r="AE67" s="960">
        <f ca="1">AE60*$C$65</f>
        <v>0.25000000005820766</v>
      </c>
      <c r="AG67" s="960">
        <f ca="1">AG60*$C$65</f>
        <v>0.25</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0.5</v>
      </c>
      <c r="G70" s="960">
        <f ca="1">SUM(G66:G69)</f>
        <v>0.50000000011641532</v>
      </c>
      <c r="I70" s="960">
        <f ca="1">SUM(I66:I69)</f>
        <v>0.49999999988358468</v>
      </c>
      <c r="K70" s="960">
        <f ca="1">SUM(K66:K69)</f>
        <v>0.49999999988358468</v>
      </c>
      <c r="M70" s="960">
        <f ca="1">SUM(M66:M69)</f>
        <v>0.5</v>
      </c>
      <c r="O70" s="960">
        <f ca="1">SUM(O66:O69)</f>
        <v>0.5</v>
      </c>
      <c r="Q70" s="960">
        <f ca="1">SUM(Q66:Q69)</f>
        <v>0.5</v>
      </c>
      <c r="S70" s="960">
        <f ca="1">SUM(S66:S69)</f>
        <v>0.50000000011641532</v>
      </c>
      <c r="U70" s="960">
        <f ca="1">SUM(U66:U69)</f>
        <v>0.50000000011641532</v>
      </c>
      <c r="W70" s="960">
        <f ca="1">SUM(W66:W69)</f>
        <v>0.5</v>
      </c>
      <c r="Y70" s="960">
        <f ca="1">SUM(Y66:Y69)</f>
        <v>0.5</v>
      </c>
      <c r="AA70" s="960">
        <f ca="1">SUM(AA66:AA69)</f>
        <v>0.5</v>
      </c>
      <c r="AC70" s="960">
        <f ca="1">SUM(AC66:AC69)</f>
        <v>0.50000000011641532</v>
      </c>
      <c r="AE70" s="960">
        <f ca="1">SUM(AE66:AE69)</f>
        <v>0.50000000011641532</v>
      </c>
      <c r="AG70" s="960">
        <f ca="1">SUM(AG66:AG69)</f>
        <v>0.5</v>
      </c>
    </row>
    <row r="71" spans="1:34" s="960" customFormat="1">
      <c r="A71" s="962"/>
      <c r="C71" s="970"/>
    </row>
    <row r="72" spans="1:34" s="960" customFormat="1">
      <c r="A72" s="962" t="s">
        <v>1723</v>
      </c>
      <c r="C72" s="970"/>
      <c r="E72" s="962">
        <f>E60-E62-E70</f>
        <v>0</v>
      </c>
      <c r="G72" s="962">
        <f ca="1">G60-G62-G70</f>
        <v>0</v>
      </c>
      <c r="I72" s="962">
        <f ca="1">I60-I62-I70</f>
        <v>0</v>
      </c>
      <c r="K72" s="962">
        <f ca="1">K60-K62-K70</f>
        <v>0</v>
      </c>
      <c r="M72" s="962">
        <f ca="1">M60-M62-M70</f>
        <v>0</v>
      </c>
      <c r="O72" s="962">
        <f ca="1">O60-O62-O70</f>
        <v>0</v>
      </c>
      <c r="Q72" s="962">
        <f ca="1">Q60-Q62-Q70</f>
        <v>0</v>
      </c>
      <c r="S72" s="962">
        <f ca="1">S60-S62-S70</f>
        <v>0</v>
      </c>
      <c r="U72" s="962">
        <f ca="1">U60-U62-U70</f>
        <v>0</v>
      </c>
      <c r="W72" s="962">
        <f ca="1">W60-W62-W70</f>
        <v>0</v>
      </c>
      <c r="Y72" s="962">
        <f ca="1">Y60-Y62-Y70</f>
        <v>0</v>
      </c>
      <c r="AA72" s="962">
        <f ca="1">AA60-AA62-AA70</f>
        <v>0</v>
      </c>
      <c r="AC72" s="962">
        <f ca="1">AC60-AC62-AC70</f>
        <v>0</v>
      </c>
      <c r="AE72" s="962">
        <f ca="1">AE60-AE62-AE70</f>
        <v>0</v>
      </c>
      <c r="AG72" s="962">
        <f ca="1">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9" t="s">
        <v>1721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A6" sqref="A6"/>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2000000</v>
      </c>
      <c r="C5" s="266">
        <f>'Sources and Uses Budget'!$C4</f>
        <v>2000000</v>
      </c>
      <c r="D5" s="270">
        <f>C5-B5</f>
        <v>0</v>
      </c>
      <c r="E5" s="268"/>
      <c r="F5" s="267"/>
    </row>
    <row r="6" spans="1:6" s="352" customFormat="1">
      <c r="A6" s="364" t="s">
        <v>28</v>
      </c>
      <c r="B6" s="266">
        <f>'Sources and Uses Budget'!$C5</f>
        <v>25000</v>
      </c>
      <c r="C6" s="266">
        <f>'Sources and Uses Budget'!$C5</f>
        <v>25000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2025000</v>
      </c>
      <c r="C9" s="270">
        <f>SUM(C5:C8)</f>
        <v>2025000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2025000</v>
      </c>
      <c r="C13" s="270">
        <f>SUM(C9+C12)</f>
        <v>2025000</v>
      </c>
      <c r="D13" s="270">
        <f t="shared" si="0"/>
        <v>0</v>
      </c>
      <c r="E13" s="268"/>
      <c r="F13" s="267"/>
    </row>
    <row r="14" spans="1:6" s="352" customFormat="1">
      <c r="A14" s="366" t="s">
        <v>902</v>
      </c>
      <c r="B14" s="266">
        <f>'Sources and Uses Budget'!$C13</f>
        <v>50000</v>
      </c>
      <c r="C14" s="266">
        <f>'Sources and Uses Budget'!$C13</f>
        <v>50000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48116585</v>
      </c>
      <c r="C31" s="266">
        <f>'Sources and Uses Budget'!$C30</f>
        <v>48116585</v>
      </c>
      <c r="D31" s="270">
        <f t="shared" si="0"/>
        <v>0</v>
      </c>
      <c r="E31" s="268"/>
      <c r="F31" s="267"/>
    </row>
    <row r="32" spans="1:6" s="352" customFormat="1">
      <c r="A32" s="145" t="s">
        <v>600</v>
      </c>
      <c r="B32" s="266">
        <f>'Sources and Uses Budget'!$C31</f>
        <v>1784503</v>
      </c>
      <c r="C32" s="266">
        <f>'Sources and Uses Budget'!$C31</f>
        <v>1784503</v>
      </c>
      <c r="D32" s="270">
        <f t="shared" si="0"/>
        <v>0</v>
      </c>
      <c r="E32" s="268"/>
      <c r="F32" s="267"/>
    </row>
    <row r="33" spans="1:6" s="352" customFormat="1">
      <c r="A33" s="145" t="s">
        <v>137</v>
      </c>
      <c r="B33" s="266">
        <f>'Sources and Uses Budget'!$C32</f>
        <v>860655</v>
      </c>
      <c r="C33" s="266">
        <f>'Sources and Uses Budget'!$C32</f>
        <v>860655</v>
      </c>
      <c r="D33" s="270">
        <f t="shared" si="0"/>
        <v>0</v>
      </c>
      <c r="E33" s="268"/>
      <c r="F33" s="267"/>
    </row>
    <row r="34" spans="1:6" s="352" customFormat="1">
      <c r="A34" s="145" t="s">
        <v>138</v>
      </c>
      <c r="B34" s="266">
        <f>'Sources and Uses Budget'!$C33</f>
        <v>860655</v>
      </c>
      <c r="C34" s="266">
        <f>'Sources and Uses Budget'!$C33</f>
        <v>860655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800965</v>
      </c>
      <c r="C36" s="266">
        <f>'Sources and Uses Budget'!$C35</f>
        <v>800965</v>
      </c>
      <c r="D36" s="270">
        <f t="shared" si="0"/>
        <v>0</v>
      </c>
      <c r="E36" s="268"/>
      <c r="F36" s="267"/>
    </row>
    <row r="37" spans="1:6" s="352" customFormat="1">
      <c r="A37" s="283" t="s">
        <v>1640</v>
      </c>
      <c r="B37" s="266">
        <f>'Sources and Uses Budget'!$C36</f>
        <v>100000</v>
      </c>
      <c r="C37" s="266">
        <f>'Sources and Uses Budget'!$C36</f>
        <v>100000</v>
      </c>
      <c r="D37" s="270"/>
      <c r="E37" s="268"/>
      <c r="F37" s="267"/>
    </row>
    <row r="38" spans="1:6" s="352" customFormat="1">
      <c r="A38" s="155" t="str">
        <f>'Sources and Uses Budget'!A37</f>
        <v>Other: PGE Transformer</v>
      </c>
      <c r="B38" s="266">
        <f>'Sources and Uses Budget'!$C37</f>
        <v>370000</v>
      </c>
      <c r="C38" s="266">
        <f>'Sources and Uses Budget'!$C37</f>
        <v>370000</v>
      </c>
      <c r="D38" s="270">
        <f t="shared" si="0"/>
        <v>0</v>
      </c>
      <c r="E38" s="268"/>
      <c r="F38" s="267"/>
    </row>
    <row r="39" spans="1:6" s="352" customFormat="1">
      <c r="A39" s="271" t="s">
        <v>143</v>
      </c>
      <c r="B39" s="270">
        <f>SUM(B30:B38)</f>
        <v>52893363</v>
      </c>
      <c r="C39" s="270">
        <f>SUM(C30:C38)</f>
        <v>52893363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2088312</v>
      </c>
      <c r="C41" s="266">
        <f>'Sources and Uses Budget'!$C40</f>
        <v>2088312</v>
      </c>
      <c r="D41" s="270">
        <f t="shared" si="0"/>
        <v>0</v>
      </c>
      <c r="E41" s="268"/>
      <c r="F41" s="267"/>
    </row>
    <row r="42" spans="1:6" s="352" customFormat="1">
      <c r="A42" s="269" t="s">
        <v>146</v>
      </c>
      <c r="B42" s="266">
        <f>'Sources and Uses Budget'!$C41</f>
        <v>450000</v>
      </c>
      <c r="C42" s="266">
        <f>'Sources and Uses Budget'!$C41</f>
        <v>450000</v>
      </c>
      <c r="D42" s="270">
        <f t="shared" si="0"/>
        <v>0</v>
      </c>
      <c r="E42" s="268"/>
      <c r="F42" s="267"/>
    </row>
    <row r="43" spans="1:6" s="352" customFormat="1">
      <c r="A43" s="271" t="s">
        <v>147</v>
      </c>
      <c r="B43" s="270">
        <f>SUM(B41:B42)</f>
        <v>2538312</v>
      </c>
      <c r="C43" s="270">
        <f>SUM(C41:C42)</f>
        <v>2538312</v>
      </c>
      <c r="D43" s="270">
        <f t="shared" si="0"/>
        <v>0</v>
      </c>
      <c r="E43" s="268"/>
      <c r="F43" s="267"/>
    </row>
    <row r="44" spans="1:6" s="352" customFormat="1">
      <c r="A44" s="271" t="s">
        <v>148</v>
      </c>
      <c r="B44" s="266">
        <f>'Sources and Uses Budget'!$C43</f>
        <v>620000</v>
      </c>
      <c r="C44" s="266">
        <f>'Sources and Uses Budget'!$C43</f>
        <v>620000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4543019</v>
      </c>
      <c r="C46" s="266">
        <f>'Sources and Uses Budget'!$C45</f>
        <v>4543019</v>
      </c>
      <c r="D46" s="270">
        <f t="shared" si="0"/>
        <v>0</v>
      </c>
      <c r="E46" s="268"/>
      <c r="F46" s="267"/>
    </row>
    <row r="47" spans="1:6" s="352" customFormat="1">
      <c r="A47" s="145" t="s">
        <v>151</v>
      </c>
      <c r="B47" s="266">
        <f>'Sources and Uses Budget'!$C46</f>
        <v>309679</v>
      </c>
      <c r="C47" s="266">
        <f>'Sources and Uses Budget'!$C46</f>
        <v>309679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237335</v>
      </c>
      <c r="C50" s="266">
        <f>'Sources and Uses Budget'!$C49</f>
        <v>237335</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38000</v>
      </c>
      <c r="C52" s="266">
        <f>'Sources and Uses Budget'!$C51</f>
        <v>38000</v>
      </c>
      <c r="D52" s="270">
        <f t="shared" si="0"/>
        <v>0</v>
      </c>
      <c r="E52" s="268"/>
      <c r="F52" s="267"/>
    </row>
    <row r="53" spans="1:6" s="352" customFormat="1">
      <c r="A53" s="145" t="s">
        <v>155</v>
      </c>
      <c r="B53" s="266">
        <f>'Sources and Uses Budget'!$C52</f>
        <v>600000</v>
      </c>
      <c r="C53" s="266">
        <f>'Sources and Uses Budget'!$C52</f>
        <v>600000</v>
      </c>
      <c r="D53" s="270">
        <f t="shared" si="0"/>
        <v>0</v>
      </c>
      <c r="E53" s="268"/>
      <c r="F53" s="267"/>
    </row>
    <row r="54" spans="1:6" s="352" customFormat="1">
      <c r="A54" s="155" t="str">
        <f>'Sources and Uses Budget'!A53</f>
        <v>Other: Lender Expenses</v>
      </c>
      <c r="B54" s="266">
        <f>'Sources and Uses Budget'!$C53</f>
        <v>35000</v>
      </c>
      <c r="C54" s="266">
        <f>'Sources and Uses Budget'!$C53</f>
        <v>35000</v>
      </c>
      <c r="D54" s="270">
        <f t="shared" si="0"/>
        <v>0</v>
      </c>
      <c r="E54" s="268"/>
      <c r="F54" s="267"/>
    </row>
    <row r="55" spans="1:6" s="353" customFormat="1">
      <c r="A55" s="271" t="s">
        <v>157</v>
      </c>
      <c r="B55" s="273">
        <f>SUM(B46:B54)</f>
        <v>5843033</v>
      </c>
      <c r="C55" s="273">
        <f>SUM(C46:C54)</f>
        <v>5843033</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15000</v>
      </c>
      <c r="C63" s="270">
        <f>SUM(C57:C62)</f>
        <v>15000</v>
      </c>
      <c r="D63" s="270">
        <f t="shared" si="0"/>
        <v>0</v>
      </c>
      <c r="E63" s="268"/>
      <c r="F63" s="267"/>
    </row>
    <row r="64" spans="1:6" s="352" customFormat="1">
      <c r="A64" s="274" t="s">
        <v>301</v>
      </c>
      <c r="B64" s="270">
        <f>SUM(B9+B12+B14+B15+B17+B26+B28+B39+B43+B44+B55+B63)</f>
        <v>63984708</v>
      </c>
      <c r="C64" s="270">
        <f>SUM(C9+C12+C14+C15+C17+C26+C28+C39+C43+C44+C55+C63)</f>
        <v>63984708</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65000</v>
      </c>
      <c r="C66" s="266">
        <f>'Sources and Uses Budget'!$C65</f>
        <v>65000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55000</v>
      </c>
      <c r="C70" s="266">
        <f>'Sources and Uses Budget'!$C69</f>
        <v>55000</v>
      </c>
      <c r="D70" s="270">
        <f t="shared" si="0"/>
        <v>0</v>
      </c>
      <c r="E70" s="268"/>
      <c r="F70" s="267"/>
    </row>
    <row r="71" spans="1:6" s="352" customFormat="1">
      <c r="A71" s="149" t="s">
        <v>1645</v>
      </c>
      <c r="B71" s="270">
        <f>SUM(B66:B70)</f>
        <v>120000</v>
      </c>
      <c r="C71" s="270">
        <f>SUM(C66:C70)</f>
        <v>120000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611993</v>
      </c>
      <c r="C76" s="266">
        <f>'Sources and Uses Budget'!$C75</f>
        <v>611993</v>
      </c>
      <c r="D76" s="270">
        <f t="shared" si="0"/>
        <v>0</v>
      </c>
      <c r="E76" s="268"/>
      <c r="F76" s="267"/>
    </row>
    <row r="77" spans="1:6" s="352" customFormat="1">
      <c r="A77" s="272" t="s">
        <v>34</v>
      </c>
      <c r="B77" s="266">
        <f>'Sources and Uses Budget'!$C76</f>
        <v>1868884</v>
      </c>
      <c r="C77" s="266">
        <f>'Sources and Uses Budget'!$C76</f>
        <v>1868884</v>
      </c>
      <c r="D77" s="270">
        <f t="shared" si="0"/>
        <v>0</v>
      </c>
      <c r="E77" s="268"/>
      <c r="F77" s="267"/>
    </row>
    <row r="78" spans="1:6" s="352" customFormat="1">
      <c r="A78" s="271" t="s">
        <v>606</v>
      </c>
      <c r="B78" s="270">
        <f>SUM(B73:B77)</f>
        <v>2480877</v>
      </c>
      <c r="C78" s="270">
        <f>SUM(C73:C77)</f>
        <v>2480877</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4183183</v>
      </c>
      <c r="C80" s="266">
        <f>'Sources and Uses Budget'!$C79</f>
        <v>4183183</v>
      </c>
      <c r="D80" s="270">
        <f t="shared" si="1"/>
        <v>0</v>
      </c>
      <c r="E80" s="268"/>
      <c r="F80" s="267"/>
    </row>
    <row r="81" spans="1:6" s="352" customFormat="1">
      <c r="A81" s="510" t="s">
        <v>58</v>
      </c>
      <c r="B81" s="266">
        <f>'Sources and Uses Budget'!$C80</f>
        <v>524977</v>
      </c>
      <c r="C81" s="266">
        <f>'Sources and Uses Budget'!$C80</f>
        <v>524977</v>
      </c>
      <c r="D81" s="270">
        <f>C81-B81</f>
        <v>0</v>
      </c>
      <c r="E81" s="268"/>
      <c r="F81" s="267"/>
    </row>
    <row r="82" spans="1:6" s="352" customFormat="1">
      <c r="A82" s="271" t="s">
        <v>1209</v>
      </c>
      <c r="B82" s="270">
        <f>SUM(B80:B81)</f>
        <v>4708160</v>
      </c>
      <c r="C82" s="270">
        <f>SUM(C80:C81)</f>
        <v>4708160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107743</v>
      </c>
      <c r="C84" s="266">
        <f>'Sources and Uses Budget'!$C83</f>
        <v>107743</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470930</v>
      </c>
      <c r="C86" s="266">
        <f>'Sources and Uses Budget'!$C85</f>
        <v>470930</v>
      </c>
      <c r="D86" s="270">
        <f t="shared" si="1"/>
        <v>0</v>
      </c>
      <c r="E86" s="268"/>
      <c r="F86" s="267"/>
    </row>
    <row r="87" spans="1:6" s="352" customFormat="1">
      <c r="A87" s="269" t="s">
        <v>769</v>
      </c>
      <c r="B87" s="266">
        <f>'Sources and Uses Budget'!$C86</f>
        <v>1258930</v>
      </c>
      <c r="C87" s="266">
        <f>'Sources and Uses Budget'!$C86</f>
        <v>1258930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450000</v>
      </c>
      <c r="C89" s="266">
        <f>'Sources and Uses Budget'!$C88</f>
        <v>450000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16000</v>
      </c>
      <c r="C91" s="266">
        <f>'Sources and Uses Budget'!$C90</f>
        <v>16000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40000</v>
      </c>
      <c r="C94" s="266">
        <f>'Sources and Uses Budget'!$C93</f>
        <v>40000</v>
      </c>
      <c r="D94" s="270">
        <f t="shared" si="1"/>
        <v>0</v>
      </c>
      <c r="E94" s="268"/>
      <c r="F94" s="267"/>
    </row>
    <row r="95" spans="1:6" s="352" customFormat="1">
      <c r="A95" s="272" t="s">
        <v>34</v>
      </c>
      <c r="B95" s="266">
        <f>'Sources and Uses Budget'!$C94</f>
        <v>750000</v>
      </c>
      <c r="C95" s="266">
        <f>'Sources and Uses Budget'!$C94</f>
        <v>750000</v>
      </c>
      <c r="D95" s="270">
        <f t="shared" si="1"/>
        <v>0</v>
      </c>
      <c r="E95" s="268"/>
      <c r="F95" s="267"/>
    </row>
    <row r="96" spans="1:6" s="352" customFormat="1">
      <c r="A96" s="272" t="s">
        <v>34</v>
      </c>
      <c r="B96" s="266">
        <f>'Sources and Uses Budget'!$C95</f>
        <v>100000</v>
      </c>
      <c r="C96" s="266">
        <f>'Sources and Uses Budget'!$C95</f>
        <v>100000</v>
      </c>
      <c r="D96" s="270">
        <f t="shared" si="1"/>
        <v>0</v>
      </c>
      <c r="E96" s="268"/>
      <c r="F96" s="267"/>
    </row>
    <row r="97" spans="1:6" s="352" customFormat="1">
      <c r="A97" s="271" t="s">
        <v>774</v>
      </c>
      <c r="B97" s="270">
        <f>SUM(B84:B96)</f>
        <v>3408603</v>
      </c>
      <c r="C97" s="270">
        <f>SUM(C84:C96)</f>
        <v>3408603</v>
      </c>
      <c r="D97" s="270">
        <f t="shared" si="1"/>
        <v>0</v>
      </c>
      <c r="E97" s="268"/>
      <c r="F97" s="267"/>
    </row>
    <row r="98" spans="1:6" s="352" customFormat="1">
      <c r="A98" s="271" t="s">
        <v>775</v>
      </c>
      <c r="B98" s="270">
        <f>SUM(B64+B71+B78+B82+B97)</f>
        <v>74702348</v>
      </c>
      <c r="C98" s="270">
        <f>SUM(C64+C71+C78+C82+C97)</f>
        <v>74702348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7000000</v>
      </c>
      <c r="C100" s="266">
        <f>'Sources and Uses Budget'!$C99</f>
        <v>7000000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7000000</v>
      </c>
      <c r="C105" s="270">
        <f>SUM(C100:C104)</f>
        <v>7000000</v>
      </c>
      <c r="D105" s="270">
        <f t="shared" si="1"/>
        <v>0</v>
      </c>
      <c r="E105" s="268"/>
      <c r="F105" s="267"/>
    </row>
    <row r="106" spans="1:6" s="352" customFormat="1">
      <c r="A106" s="271" t="s">
        <v>780</v>
      </c>
      <c r="B106" s="273">
        <f>SUM(B98+B105)</f>
        <v>81702348</v>
      </c>
      <c r="C106" s="273">
        <f>SUM(C98+C105)</f>
        <v>81702348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5"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1" zoomScale="90" zoomScaleNormal="90" workbookViewId="0">
      <selection activeCell="B1136" sqref="B1136"/>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2730</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2730</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2731</v>
      </c>
      <c r="D24" s="1301" t="s">
        <v>1091</v>
      </c>
      <c r="E24" s="1301"/>
      <c r="F24" s="1301"/>
      <c r="I24" s="490"/>
    </row>
    <row r="25" spans="1:9" ht="14.25">
      <c r="A25" s="484"/>
      <c r="B25" s="484"/>
      <c r="D25" s="1301"/>
      <c r="E25" s="1301"/>
      <c r="F25" s="1301"/>
      <c r="I25" s="490"/>
    </row>
    <row r="26" spans="1:9">
      <c r="I26" s="490"/>
    </row>
    <row r="27" spans="1:9" ht="14.25">
      <c r="A27" s="484"/>
      <c r="B27" s="485" t="s">
        <v>2730</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2730</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2730</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2730</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2730</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2731</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2730</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2731</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2731</v>
      </c>
      <c r="D65" s="1301" t="s">
        <v>1097</v>
      </c>
      <c r="E65" s="1301"/>
      <c r="F65" s="1301"/>
      <c r="I65" s="490"/>
    </row>
    <row r="66" spans="1:9">
      <c r="D66" s="1301"/>
      <c r="E66" s="1301"/>
      <c r="F66" s="1301"/>
      <c r="I66" s="490"/>
    </row>
    <row r="67" spans="1:9">
      <c r="I67" s="490"/>
    </row>
    <row r="68" spans="1:9" ht="14.25">
      <c r="A68" s="484"/>
      <c r="B68" s="485" t="s">
        <v>2730</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2730</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2730</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2730</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2730</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2730</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2731</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2731</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2731</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2730</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2730</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2730</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2731</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2730</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2731</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2731</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2731</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2730</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2731</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2731</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2731</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2731</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2730</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2730</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2730</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2730</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2730</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2730</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2730</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2731</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2731</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2731</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2731</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2731</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2731</v>
      </c>
      <c r="D305" s="1299" t="s">
        <v>1129</v>
      </c>
      <c r="E305" s="1299"/>
      <c r="F305" s="1299"/>
      <c r="I305" s="490"/>
    </row>
    <row r="306" spans="1:9" ht="14.25">
      <c r="A306" s="484"/>
      <c r="B306" s="484"/>
      <c r="D306" s="494"/>
      <c r="E306" s="495"/>
      <c r="F306" s="495"/>
      <c r="I306" s="490"/>
    </row>
    <row r="307" spans="1:9" ht="13.7" customHeight="1">
      <c r="B307" s="485" t="s">
        <v>2731</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2731</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2731</v>
      </c>
      <c r="D316" s="1299" t="s">
        <v>1131</v>
      </c>
      <c r="E316" s="1299"/>
      <c r="F316" s="1299"/>
      <c r="I316" s="490"/>
    </row>
    <row r="317" spans="1:9">
      <c r="E317" s="446"/>
      <c r="F317" s="446"/>
      <c r="I317" s="490"/>
    </row>
    <row r="318" spans="1:9" ht="14.25">
      <c r="A318" s="484"/>
      <c r="B318" s="485" t="s">
        <v>2731</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2731</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2731</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2731</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2731</v>
      </c>
      <c r="C360" s="476"/>
      <c r="D360" s="1318" t="s">
        <v>2057</v>
      </c>
      <c r="E360" s="1318"/>
      <c r="F360" s="1318"/>
      <c r="I360" s="480"/>
    </row>
    <row r="361" spans="1:9">
      <c r="A361" s="476"/>
      <c r="B361" s="476"/>
      <c r="C361" s="476"/>
      <c r="D361" s="447"/>
      <c r="E361" s="447"/>
      <c r="F361" s="446"/>
      <c r="I361" s="490"/>
    </row>
    <row r="362" spans="1:9">
      <c r="A362" s="476"/>
      <c r="B362" s="485" t="s">
        <v>2731</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2731</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2731</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2731</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2731</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2731</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2731</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2731</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2731</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2731</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2731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2731</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2731</v>
      </c>
      <c r="C486" s="402"/>
      <c r="D486" s="1301"/>
      <c r="E486" s="1301"/>
      <c r="F486" s="1301"/>
      <c r="I486" s="490"/>
    </row>
    <row r="487" spans="1:9">
      <c r="A487" s="402"/>
      <c r="C487" s="402"/>
      <c r="D487" s="1301"/>
      <c r="E487" s="1301"/>
      <c r="F487" s="1301"/>
      <c r="I487" s="490"/>
    </row>
    <row r="488" spans="1:9">
      <c r="A488" s="402"/>
      <c r="B488" s="485" t="s">
        <v>2731</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2731</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2731</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2731</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2731</v>
      </c>
      <c r="D509" s="1299" t="s">
        <v>1143</v>
      </c>
      <c r="E509" s="1299"/>
      <c r="F509" s="1299"/>
      <c r="I509" s="490"/>
    </row>
    <row r="510" spans="1:9" ht="14.25">
      <c r="A510" s="484"/>
      <c r="B510" s="484"/>
      <c r="D510" s="446"/>
      <c r="I510" s="490"/>
    </row>
    <row r="511" spans="1:9" ht="14.25">
      <c r="A511" s="484"/>
      <c r="B511" s="485" t="s">
        <v>2731</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2731</v>
      </c>
      <c r="D514" s="1299" t="s">
        <v>1145</v>
      </c>
      <c r="E514" s="1299"/>
      <c r="F514" s="1299"/>
      <c r="I514" s="490"/>
    </row>
    <row r="515" spans="1:9">
      <c r="D515" s="446"/>
      <c r="E515" s="446"/>
      <c r="F515" s="446"/>
      <c r="I515" s="490"/>
    </row>
    <row r="516" spans="1:9">
      <c r="B516" s="485" t="s">
        <v>2731</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2730</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2730</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2731</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2730</v>
      </c>
      <c r="C548" s="487"/>
      <c r="D548" s="1299" t="s">
        <v>884</v>
      </c>
      <c r="E548" s="1299"/>
      <c r="F548" s="1299"/>
      <c r="I548" s="490"/>
    </row>
    <row r="549" spans="1:9" ht="13.7" customHeight="1">
      <c r="A549" s="487"/>
      <c r="B549" s="487"/>
      <c r="C549" s="487"/>
      <c r="D549" s="446"/>
      <c r="I549" s="490"/>
    </row>
    <row r="550" spans="1:9" ht="14.25">
      <c r="A550" s="484"/>
      <c r="B550" s="485" t="s">
        <v>2730</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2730</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2730</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2730</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2731</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2730</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2730</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2730</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2730</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2730</v>
      </c>
      <c r="D588" s="1313" t="s">
        <v>888</v>
      </c>
      <c r="E588" s="1313"/>
      <c r="F588" s="1313"/>
      <c r="I588" s="490"/>
    </row>
    <row r="589" spans="1:9">
      <c r="A589" s="490"/>
      <c r="B589" s="490"/>
      <c r="D589" s="476"/>
      <c r="I589" s="490"/>
    </row>
    <row r="590" spans="1:9">
      <c r="A590" s="490"/>
      <c r="B590" s="485" t="s">
        <v>2730</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2731</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2730</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2731</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2730</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2730</v>
      </c>
      <c r="D620" s="1307" t="s">
        <v>1111</v>
      </c>
      <c r="E620" s="1307"/>
      <c r="F620" s="1307"/>
      <c r="I620" s="490"/>
    </row>
    <row r="621" spans="1:9">
      <c r="D621" s="1307"/>
      <c r="E621" s="1307"/>
      <c r="F621" s="1307"/>
      <c r="I621" s="490"/>
    </row>
    <row r="622" spans="1:9">
      <c r="I622" s="490"/>
    </row>
    <row r="623" spans="1:9">
      <c r="B623" s="485" t="s">
        <v>2730</v>
      </c>
      <c r="D623" s="1307" t="s">
        <v>1112</v>
      </c>
      <c r="E623" s="1307"/>
      <c r="F623" s="1307"/>
      <c r="I623" s="490"/>
    </row>
    <row r="624" spans="1:9">
      <c r="C624" s="500"/>
      <c r="D624" s="1307"/>
      <c r="E624" s="1307"/>
      <c r="F624" s="1307"/>
      <c r="I624" s="490"/>
    </row>
    <row r="625" spans="1:9">
      <c r="C625" s="500"/>
      <c r="I625" s="490"/>
    </row>
    <row r="626" spans="1:9">
      <c r="B626" s="485" t="s">
        <v>2731</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2730</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2731</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2731</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2731</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2730</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2730</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2731</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2731</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2730</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2731</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2730</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2731</v>
      </c>
      <c r="C698" s="483"/>
      <c r="D698" s="1299" t="s">
        <v>2470</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2730</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2731</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2731</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2731</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2731</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2731</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2731</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2731</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2730</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2730</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2731</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2731</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2731</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2730</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2731</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2731</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2731</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2731</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2731</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2731</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2730</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2730</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2731</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2731</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2731</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2730</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2730</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2731</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2731</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2731</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2730</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2730</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2730</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2731</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2731</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2731</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2731</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2730</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2730</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2730</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2731</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2730</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2731</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2731</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2730</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2731</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2731</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2730</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2731</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2730</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2730</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2731</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2731</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2731</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2731</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2730</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2731</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2731</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2730</v>
      </c>
      <c r="C1062" s="402"/>
      <c r="D1062" s="402" t="s">
        <v>1812</v>
      </c>
      <c r="I1062" s="490"/>
    </row>
    <row r="1063" spans="1:9">
      <c r="A1063" s="402"/>
      <c r="B1063" s="402"/>
      <c r="C1063" s="402"/>
      <c r="I1063" s="490"/>
    </row>
    <row r="1064" spans="1:9">
      <c r="A1064" s="402"/>
      <c r="B1064" s="485" t="s">
        <v>2731</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2730</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2731</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2731</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2731</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2731</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2731</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2731</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2731</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2730</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2731</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64" workbookViewId="0">
      <selection activeCell="T179" sqref="T17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49</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2511</v>
      </c>
      <c r="BE8" s="1249">
        <f>SUMIF($AC$718:$AC$752,"&lt;=35%",$G$718:G$752)-SUM($BE$5:BE7)</f>
        <v>0</v>
      </c>
    </row>
    <row r="9" spans="1:58" ht="12.95" customHeight="1">
      <c r="A9" s="1374" t="s">
        <v>2077</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2503</v>
      </c>
      <c r="BE9" s="1249">
        <f>SUMIF($AC$718:$AC$752,"&lt;=40%",$G$718:G$752)-SUM($BE$5:BE8)</f>
        <v>0</v>
      </c>
    </row>
    <row r="10" spans="1:58" ht="12.95"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49">
        <f>SUMIF($AC$718:$AC$752,"&lt;=45%",$G$718:G$752)-SUM($BE$5:BE9)</f>
        <v>0</v>
      </c>
    </row>
    <row r="11" spans="1:58" ht="12.95"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2504</v>
      </c>
      <c r="BE11" s="1249">
        <f>SUMIF($AC$718:$AC$752,"&lt;=50%",$G$718:G$752)-SUM($BE$5:BE10)</f>
        <v>47</v>
      </c>
    </row>
    <row r="12" spans="1:58" ht="12.95" customHeight="1">
      <c r="A12" s="1413" t="s">
        <v>2611</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2513</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The Eliza</v>
      </c>
    </row>
    <row r="17" spans="1:58" ht="12.95" customHeight="1">
      <c r="BD17" s="1247" t="s">
        <v>2520</v>
      </c>
      <c r="BE17" s="1249">
        <f>Application!AA934</f>
        <v>0</v>
      </c>
    </row>
    <row r="18" spans="1:58" ht="12.95" customHeight="1">
      <c r="A18" s="57" t="s">
        <v>101</v>
      </c>
      <c r="C18" s="4"/>
      <c r="D18" s="4"/>
      <c r="E18" s="4"/>
      <c r="F18" s="4"/>
      <c r="G18" s="4"/>
      <c r="H18" s="1372" t="s">
        <v>2621</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2.95" customHeight="1">
      <c r="BD19" s="1247" t="s">
        <v>2522</v>
      </c>
      <c r="BE19" s="1249">
        <f>Application!M26</f>
        <v>3834274</v>
      </c>
    </row>
    <row r="20" spans="1:58" ht="12.95"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2523</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40153350.5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81702348</v>
      </c>
      <c r="BF22" s="3" t="s">
        <v>2597</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2000000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47724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19">
        <f>'Basis &amp; Credits'!AB56</f>
        <v>3834274</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5" t="s">
        <v>2148</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2529</v>
      </c>
      <c r="BE29" s="1249"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2530</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20</v>
      </c>
    </row>
    <row r="33" spans="1:57" ht="12.95" customHeight="1">
      <c r="A33" s="519" t="s">
        <v>1278</v>
      </c>
      <c r="C33" s="519"/>
      <c r="D33" s="519"/>
      <c r="E33" s="519"/>
      <c r="F33" s="519"/>
      <c r="G33" s="519"/>
      <c r="H33" s="519"/>
      <c r="I33" s="519"/>
      <c r="J33" s="519"/>
      <c r="K33" s="519"/>
      <c r="L33" s="519"/>
      <c r="M33" s="519"/>
      <c r="N33" s="519"/>
      <c r="O33" s="1332" t="s">
        <v>669</v>
      </c>
      <c r="P33" s="1332"/>
      <c r="Q33" s="1416" t="s">
        <v>2149</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2598</v>
      </c>
      <c r="BE33" s="1249" t="str">
        <f>Application!D220</f>
        <v>East Bay Region: Alameda and Contra Costa Counties</v>
      </c>
    </row>
    <row r="34" spans="1:57" ht="12.95" customHeight="1">
      <c r="A34" s="1415" t="s">
        <v>2150</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2532</v>
      </c>
      <c r="BE34" s="1249" t="str">
        <f>Application!I185</f>
        <v>2125 Telegraph Avenue</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2533</v>
      </c>
      <c r="BE35" s="1249" t="str">
        <f>IF(Application!E187="","",Application!E187)</f>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2534</v>
      </c>
      <c r="BE36" s="1249" t="str">
        <f>Application!I189</f>
        <v>Oakland</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2535</v>
      </c>
      <c r="BE37" s="1249" t="str">
        <f>Application!T189</f>
        <v>Alameda</v>
      </c>
    </row>
    <row r="38" spans="1:57" ht="12.95" customHeight="1">
      <c r="A38" s="3"/>
      <c r="AZ38" s="20"/>
      <c r="BD38" s="1248" t="s">
        <v>2536</v>
      </c>
      <c r="BE38" s="1249">
        <f>Application!I190</f>
        <v>94612</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97</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96</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0.3979166666666667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0.13376251788268956</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842292.24742268038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Mercy Housing 91,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Ramie Dare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Mercy Housing California</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Mercy Housing California</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 xml:space="preserve">1256 Market Street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Francisco, CA 94102</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Ramie Dare</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rdare@mercyhousing.org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0.86593571560091953</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f>Application!X180</f>
        <v>0</v>
      </c>
    </row>
    <row r="65" spans="1:57" ht="12.95" customHeight="1">
      <c r="A65" s="1417" t="s">
        <v>2157</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2595</v>
      </c>
      <c r="BE65" s="1249" t="str">
        <f>Z205</f>
        <v>(select)</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2560</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7" t="s">
        <v>2158</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2563</v>
      </c>
      <c r="BE69" s="1249" t="str">
        <f>Application!W700</f>
        <v>California Municipal Finance Authority</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2564</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415" t="s">
        <v>2159</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2566</v>
      </c>
      <c r="BE72" s="1249">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2569</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2570</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7" t="s">
        <v>2161</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2573</v>
      </c>
      <c r="BE79" s="1249">
        <f>'Points System'!AF815</f>
        <v>9</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2574</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1.2514441527670468</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Michele Byrd</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250 Frank Ogawa Plaza Suite 6301</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Oakland</v>
      </c>
    </row>
    <row r="89" spans="1:57" ht="12.95"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2583</v>
      </c>
      <c r="BE89" s="1249">
        <f>Application!O158</f>
        <v>94612</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2584</v>
      </c>
      <c r="BE90" s="1249" t="str">
        <f>Application!H16</f>
        <v>Mercy Housing California 91,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1256 Market Street</v>
      </c>
    </row>
    <row r="92" spans="1:57" ht="12.95"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2586</v>
      </c>
      <c r="BE92" s="1249" t="str">
        <f>Application!M234</f>
        <v>San Francisco</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2587</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2588</v>
      </c>
      <c r="BE94" s="1249">
        <f>Application!AC234</f>
        <v>94102</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2589</v>
      </c>
      <c r="BE95" s="1249" t="str">
        <f>Application!M235</f>
        <v>Tim Dunn</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2590</v>
      </c>
      <c r="BE96" s="1249" t="str">
        <f>Application!M237</f>
        <v>tdunn@mercyhousing.org</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2591</v>
      </c>
      <c r="BE97" s="1249" t="str">
        <f>Application!M248</f>
        <v>rdare@mercyhousing.org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2592</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2594</v>
      </c>
      <c r="BE100" s="1249" t="str">
        <f>Application!L279</f>
        <v>tdunn@mercyhousing.org</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2599</v>
      </c>
      <c r="BE101">
        <f>'Sources and Uses Budget'!C105</f>
        <v>81702348</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2600</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0">
        <v>19</v>
      </c>
      <c r="H113" s="1790"/>
      <c r="I113" s="3" t="s">
        <v>181</v>
      </c>
      <c r="L113" s="1790" t="s">
        <v>2748</v>
      </c>
      <c r="M113" s="1790"/>
      <c r="N113" s="1790"/>
      <c r="O113" s="1790"/>
      <c r="P113" s="1796" t="s">
        <v>2241</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2749</v>
      </c>
      <c r="D115" s="1801"/>
      <c r="E115" s="1801"/>
      <c r="F115" s="1801"/>
      <c r="G115" s="1801"/>
      <c r="H115" s="1801"/>
      <c r="I115" s="1801"/>
      <c r="J115" s="1801"/>
      <c r="K115" s="180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2626</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9" t="s">
        <v>469</v>
      </c>
      <c r="CV122" s="1660"/>
      <c r="CW122" s="14"/>
      <c r="CX122" s="14" t="s">
        <v>634</v>
      </c>
      <c r="CY122" s="14"/>
      <c r="CZ122" s="14"/>
      <c r="DA122" s="14"/>
      <c r="DB122" s="14"/>
      <c r="DC122" s="14"/>
      <c r="DD122" s="14"/>
      <c r="DE122" s="14"/>
      <c r="DF122" s="14"/>
      <c r="DG122" s="1656" t="str">
        <f>T189</f>
        <v>Alameda</v>
      </c>
      <c r="DH122" s="1657"/>
      <c r="DI122" s="1657"/>
      <c r="DJ122" s="1657"/>
      <c r="DK122" s="1657"/>
      <c r="DL122" s="1657"/>
      <c r="DM122" s="1658"/>
    </row>
    <row r="123" spans="1:117" ht="12.95" customHeight="1">
      <c r="A123" s="3"/>
      <c r="B123" s="3"/>
      <c r="T123" s="3"/>
      <c r="U123" s="3"/>
      <c r="V123" s="3"/>
      <c r="W123" s="3"/>
      <c r="X123" s="3"/>
      <c r="Y123" s="1790" t="s">
        <v>2690</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372" t="s">
        <v>2613</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547" t="s">
        <v>2614</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3" t="s">
        <v>2615</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372" t="s">
        <v>2616</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3">
        <v>94612</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1" t="s">
        <v>2617</v>
      </c>
      <c r="P159" s="1781"/>
      <c r="Q159" s="1781"/>
      <c r="R159" s="1781"/>
      <c r="S159" s="1781"/>
      <c r="T159" s="1781"/>
      <c r="V159" s="97" t="s">
        <v>270</v>
      </c>
      <c r="W159" s="1794"/>
      <c r="X159" s="1794"/>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81" t="s">
        <v>2618</v>
      </c>
      <c r="P160" s="1781"/>
      <c r="Q160" s="1781"/>
      <c r="R160" s="1781"/>
      <c r="S160" s="1781"/>
      <c r="T160" s="178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5" t="s">
        <v>2619</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2" t="s">
        <v>2217</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3" t="s">
        <v>2102</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545</v>
      </c>
      <c r="V175" s="1332"/>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2080</v>
      </c>
      <c r="T176" s="27" t="s">
        <v>304</v>
      </c>
      <c r="U176" s="1427">
        <v>25</v>
      </c>
      <c r="V176" s="1427"/>
      <c r="W176" s="1" t="s">
        <v>305</v>
      </c>
      <c r="X176" s="1784">
        <v>482</v>
      </c>
      <c r="Y176" s="1784"/>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669</v>
      </c>
      <c r="S177" s="1332"/>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2080</v>
      </c>
      <c r="AE178" s="27" t="s">
        <v>304</v>
      </c>
      <c r="AF178" s="1783"/>
      <c r="AG178" s="1783"/>
      <c r="AH178" s="1" t="s">
        <v>305</v>
      </c>
      <c r="AI178" s="1805"/>
      <c r="AJ178" s="1805"/>
      <c r="AK178" s="1805"/>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2081</v>
      </c>
      <c r="X180" s="1332"/>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9" t="str">
        <f>H18</f>
        <v>The Eliza</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49" t="s">
        <v>2620</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372" t="s">
        <v>2616</v>
      </c>
      <c r="J189" s="1373"/>
      <c r="K189" s="1373"/>
      <c r="L189" s="1373"/>
      <c r="M189" s="1373"/>
      <c r="N189" s="1373"/>
      <c r="O189" s="1373"/>
      <c r="P189" s="1373"/>
      <c r="Q189" t="s">
        <v>582</v>
      </c>
      <c r="T189" s="1373" t="s">
        <v>476</v>
      </c>
      <c r="U189" s="1373"/>
      <c r="V189" s="1373"/>
      <c r="W189" s="1373"/>
      <c r="X189" s="1373"/>
      <c r="Y189" s="1373"/>
      <c r="Z189" s="1373"/>
      <c r="AA189" s="1373"/>
      <c r="AB189" s="1373"/>
      <c r="AC189" s="1373"/>
      <c r="AD189" s="1373"/>
      <c r="AE189" s="137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9">
        <v>94612</v>
      </c>
      <c r="J190" s="1349"/>
      <c r="K190" s="1349"/>
      <c r="L190" s="1349"/>
      <c r="M190" s="1349"/>
      <c r="N190" s="1349"/>
      <c r="O190" t="s">
        <v>585</v>
      </c>
      <c r="T190" s="1791">
        <v>4028.01</v>
      </c>
      <c r="U190" s="1791"/>
      <c r="V190" s="1791"/>
      <c r="W190" s="1791"/>
      <c r="X190" s="1791"/>
      <c r="Y190" s="1791"/>
      <c r="Z190" s="1791"/>
      <c r="AA190" s="1791"/>
      <c r="AB190" s="1791"/>
      <c r="AC190" s="1791"/>
      <c r="AD190" s="1791"/>
      <c r="AE190" s="179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4" t="s">
        <v>2622</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5" t="s">
        <v>2214</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669</v>
      </c>
      <c r="U195" s="1332"/>
      <c r="W195" t="s">
        <v>684</v>
      </c>
      <c r="AH195" s="1332">
        <v>12</v>
      </c>
      <c r="AI195" s="1332"/>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4" t="s">
        <v>545</v>
      </c>
      <c r="U196" s="1404"/>
      <c r="W196" t="s">
        <v>685</v>
      </c>
      <c r="AH196" s="1332">
        <v>8</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4" t="s">
        <v>669</v>
      </c>
      <c r="U197" s="1404"/>
      <c r="W197" t="s">
        <v>686</v>
      </c>
      <c r="AH197" s="1332">
        <v>9</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4"/>
      <c r="U198" s="1404"/>
      <c r="V198"/>
      <c r="X198" s="1415" t="s">
        <v>2515</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2516</v>
      </c>
      <c r="T200" s="1332"/>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384</v>
      </c>
      <c r="E204" s="1359"/>
      <c r="F204" s="1359"/>
      <c r="G204" s="1359"/>
      <c r="H204" s="1359"/>
      <c r="I204" s="1359"/>
      <c r="J204" s="1359"/>
      <c r="K204" s="1359"/>
      <c r="L204" s="1359"/>
      <c r="M204" s="1359"/>
      <c r="P204" s="1803">
        <f>M26</f>
        <v>3834274</v>
      </c>
      <c r="Q204" s="1782"/>
      <c r="R204" s="1782"/>
      <c r="S204" s="1782"/>
      <c r="T204" s="1782"/>
      <c r="U204" s="1782"/>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2" t="s">
        <v>1247</v>
      </c>
      <c r="E205" s="1359"/>
      <c r="F205" s="1359"/>
      <c r="G205" s="1359"/>
      <c r="H205" s="1359"/>
      <c r="I205" s="1359"/>
      <c r="J205" s="1359"/>
      <c r="K205" s="1359"/>
      <c r="L205" s="1359"/>
      <c r="M205" s="1359"/>
      <c r="P205" s="1782">
        <f>M27</f>
        <v>0</v>
      </c>
      <c r="Q205" s="1782"/>
      <c r="R205" s="1782"/>
      <c r="S205" s="1782"/>
      <c r="T205" s="1782"/>
      <c r="U205" s="1782"/>
      <c r="V205" s="28"/>
      <c r="W205" s="3" t="s">
        <v>1720</v>
      </c>
      <c r="Z205" s="1810" t="s">
        <v>1184</v>
      </c>
      <c r="AA205" s="1810"/>
      <c r="AB205" s="1810"/>
      <c r="AC205" s="1810"/>
      <c r="AD205" s="1810"/>
      <c r="AE205" s="1810"/>
      <c r="AF205" s="1810"/>
      <c r="AG205" s="1810"/>
      <c r="AH205" s="1810"/>
      <c r="AI205" s="1810"/>
      <c r="AJ205" s="1810"/>
      <c r="AK205" s="1810"/>
      <c r="AL205" s="1810"/>
      <c r="AM205" s="1810"/>
      <c r="AN205" s="1810"/>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2623</v>
      </c>
      <c r="E208" s="1418"/>
      <c r="F208" s="1418"/>
      <c r="G208" s="1418"/>
      <c r="H208" s="1418"/>
      <c r="I208" s="1418"/>
      <c r="J208" s="1418"/>
      <c r="K208" s="1418"/>
      <c r="L208" s="1418"/>
      <c r="M208" s="1418"/>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1040</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0</v>
      </c>
      <c r="R212" s="1332"/>
      <c r="T212" s="1797">
        <f>IFERROR(Q212/AG440,0)</f>
        <v>0</v>
      </c>
      <c r="U212" s="1798"/>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9">
        <v>62</v>
      </c>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418" t="s">
        <v>1063</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2467</v>
      </c>
      <c r="AD220" s="1811"/>
      <c r="AE220" s="1811"/>
      <c r="AF220" s="1811"/>
      <c r="AG220" s="1811"/>
      <c r="AH220" s="1811"/>
      <c r="AI220" s="1811"/>
      <c r="AJ220" s="1811"/>
      <c r="AK220" s="1811"/>
      <c r="AL220" s="1811"/>
      <c r="AM220" s="1811"/>
      <c r="AN220" s="1811"/>
      <c r="AO220" s="1811"/>
      <c r="AP220" s="1811"/>
      <c r="AQ220" s="1811"/>
      <c r="BA220" s="3"/>
      <c r="BC220" t="s">
        <v>299</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545</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Mercy Housing California 91,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372" t="s">
        <v>2624</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372" t="s">
        <v>730</v>
      </c>
      <c r="N234" s="1418"/>
      <c r="O234" s="1418"/>
      <c r="P234" s="1418"/>
      <c r="Q234" s="1418"/>
      <c r="R234" s="1418"/>
      <c r="S234" s="1418"/>
      <c r="T234" s="1418"/>
      <c r="V234" s="33" t="s">
        <v>86</v>
      </c>
      <c r="W234" s="1547" t="s">
        <v>2625</v>
      </c>
      <c r="X234" s="1438"/>
      <c r="Y234" s="4" t="s">
        <v>583</v>
      </c>
      <c r="AC234" s="1418">
        <v>94102</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372" t="s">
        <v>2626</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2627</v>
      </c>
      <c r="N236" s="1347"/>
      <c r="O236" s="1347"/>
      <c r="P236" s="1347"/>
      <c r="Q236" s="1347"/>
      <c r="R236" s="1347"/>
      <c r="S236" s="4" t="s">
        <v>205</v>
      </c>
      <c r="T236" s="4"/>
      <c r="U236" s="1438"/>
      <c r="V236" s="1438"/>
      <c r="W236" s="1438"/>
      <c r="X236" s="4" t="s">
        <v>89</v>
      </c>
      <c r="Z236" s="1347"/>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5" t="s">
        <v>2628</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528</v>
      </c>
      <c r="N238" s="1349"/>
      <c r="O238" s="1349"/>
      <c r="P238" s="1349"/>
      <c r="Q238" s="1349"/>
      <c r="R238" s="1349"/>
      <c r="S238" s="1349"/>
      <c r="T238" s="1349"/>
      <c r="U238" s="204" t="s">
        <v>906</v>
      </c>
      <c r="V238" s="204"/>
      <c r="W238" s="204"/>
      <c r="X238" s="204"/>
      <c r="Y238" s="204"/>
      <c r="Z238" s="204"/>
      <c r="AA238" s="1786" t="s">
        <v>2629</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2630</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2631</v>
      </c>
      <c r="AG243" s="1421"/>
      <c r="AH243" s="1421"/>
      <c r="AI243" s="1421"/>
      <c r="AJ243" s="1421"/>
      <c r="AK243" s="142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372" t="s">
        <v>2624</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372" t="s">
        <v>730</v>
      </c>
      <c r="N245" s="1418"/>
      <c r="O245" s="1418"/>
      <c r="P245" s="1418"/>
      <c r="Q245" s="1418"/>
      <c r="R245" s="1418"/>
      <c r="S245" s="1418"/>
      <c r="T245" s="1418"/>
      <c r="V245" s="33" t="s">
        <v>86</v>
      </c>
      <c r="W245" s="1547" t="s">
        <v>2625</v>
      </c>
      <c r="X245" s="1438"/>
      <c r="Y245" s="4" t="s">
        <v>583</v>
      </c>
      <c r="AC245" s="1418">
        <v>94102</v>
      </c>
      <c r="AD245" s="1418"/>
      <c r="AE245" s="1418"/>
      <c r="AF245" s="3" t="s">
        <v>1180</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372" t="s">
        <v>2632</v>
      </c>
      <c r="N246" s="1418"/>
      <c r="O246" s="1418"/>
      <c r="P246" s="1418"/>
      <c r="Q246" s="1418"/>
      <c r="R246" s="1418"/>
      <c r="S246" s="1418"/>
      <c r="T246" s="1418"/>
      <c r="U246" s="1418"/>
      <c r="V246" s="1418"/>
      <c r="W246" s="1418"/>
      <c r="X246" s="1418"/>
      <c r="Y246" s="1418"/>
      <c r="Z246" s="1418"/>
      <c r="AA246" s="1418"/>
      <c r="AB246" s="1418"/>
      <c r="AC246" s="1418"/>
      <c r="AD246" s="1418"/>
      <c r="AE246" s="1418"/>
      <c r="AH246" s="1779">
        <v>0.01</v>
      </c>
      <c r="AI246" s="1779"/>
      <c r="AJ246" s="1779"/>
      <c r="AK246" s="1779"/>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6" t="s">
        <v>2633</v>
      </c>
      <c r="N247" s="1347"/>
      <c r="O247" s="1347"/>
      <c r="P247" s="1347"/>
      <c r="Q247" s="1347"/>
      <c r="R247" s="1347"/>
      <c r="S247" s="4" t="s">
        <v>205</v>
      </c>
      <c r="T247" s="4"/>
      <c r="U247" s="1438"/>
      <c r="V247" s="1438"/>
      <c r="W247" s="1438"/>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5" t="s">
        <v>2634</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534</v>
      </c>
      <c r="N249" s="1349"/>
      <c r="O249" s="1349"/>
      <c r="P249" s="1349"/>
      <c r="Q249" s="1349"/>
      <c r="R249" s="1349"/>
      <c r="S249" s="1349"/>
      <c r="T249" s="1349"/>
      <c r="U249" s="204" t="s">
        <v>906</v>
      </c>
      <c r="V249" s="204"/>
      <c r="W249" s="204"/>
      <c r="X249" s="204"/>
      <c r="Y249" s="204"/>
      <c r="Z249" s="204"/>
      <c r="AA249" s="1786" t="s">
        <v>2629</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1"/>
      <c r="N251" s="1421"/>
      <c r="O251" s="1421"/>
      <c r="P251" s="1421"/>
      <c r="Q251" s="1421"/>
      <c r="R251" s="1421"/>
      <c r="S251" s="1421"/>
      <c r="T251" s="1421"/>
      <c r="U251" s="1421"/>
      <c r="V251" s="1421"/>
      <c r="W251" s="1421"/>
      <c r="X251" s="1421"/>
      <c r="Y251" s="1421"/>
      <c r="Z251" s="1421"/>
      <c r="AA251" s="1421"/>
      <c r="AB251" s="1421"/>
      <c r="AC251" s="1421"/>
      <c r="AD251" s="1421"/>
      <c r="AE251" s="1421"/>
      <c r="AF251" s="1421" t="s">
        <v>306</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580</v>
      </c>
      <c r="E253" s="4"/>
      <c r="M253" s="1418"/>
      <c r="N253" s="1418"/>
      <c r="O253" s="1418"/>
      <c r="P253" s="1418"/>
      <c r="Q253" s="1418"/>
      <c r="R253" s="1418"/>
      <c r="S253" s="1418"/>
      <c r="T253" s="1418"/>
      <c r="V253" s="33" t="s">
        <v>86</v>
      </c>
      <c r="W253" s="1438"/>
      <c r="X253" s="1438"/>
      <c r="Y253" s="4" t="s">
        <v>583</v>
      </c>
      <c r="AC253" s="1418"/>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8"/>
      <c r="N254" s="1418"/>
      <c r="O254" s="1418"/>
      <c r="P254" s="1418"/>
      <c r="Q254" s="1418"/>
      <c r="R254" s="1418"/>
      <c r="S254" s="1418"/>
      <c r="T254" s="1418"/>
      <c r="U254" s="1418"/>
      <c r="V254" s="1418"/>
      <c r="W254" s="1418"/>
      <c r="X254" s="1418"/>
      <c r="Y254" s="1418"/>
      <c r="Z254" s="1418"/>
      <c r="AA254" s="1418"/>
      <c r="AB254" s="1418"/>
      <c r="AC254" s="1418"/>
      <c r="AD254" s="1418"/>
      <c r="AE254" s="1418"/>
      <c r="AH254" s="1779"/>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7"/>
      <c r="N255" s="1347"/>
      <c r="O255" s="1347"/>
      <c r="P255" s="1347"/>
      <c r="Q255" s="1347"/>
      <c r="R255" s="1347"/>
      <c r="S255" s="4" t="s">
        <v>205</v>
      </c>
      <c r="T255" s="4"/>
      <c r="U255" s="1438"/>
      <c r="V255" s="1438"/>
      <c r="W255" s="1438"/>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5"/>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306</v>
      </c>
      <c r="N257" s="1349"/>
      <c r="O257" s="1349"/>
      <c r="P257" s="1349"/>
      <c r="Q257" s="1349"/>
      <c r="R257" s="1349"/>
      <c r="S257" s="1349"/>
      <c r="T257" s="1349"/>
      <c r="U257" s="204" t="s">
        <v>906</v>
      </c>
      <c r="V257" s="204"/>
      <c r="W257" s="204"/>
      <c r="X257" s="204"/>
      <c r="Y257" s="204"/>
      <c r="Z257" s="204"/>
      <c r="AA257" s="1777"/>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8"/>
      <c r="X261" s="1438"/>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4" t="s">
        <v>906</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80" t="str">
        <f>IFERROR(BO245,"")</f>
        <v>Nonprofit</v>
      </c>
      <c r="U267" s="1780"/>
      <c r="V267" s="1780"/>
      <c r="W267" s="1780"/>
      <c r="X267" s="178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279</v>
      </c>
      <c r="E270" s="1418"/>
      <c r="F270" s="1418"/>
      <c r="G270" s="1418"/>
      <c r="H270" s="1418"/>
      <c r="J270" t="s">
        <v>278</v>
      </c>
      <c r="X270" s="1693"/>
      <c r="Y270" s="1693"/>
      <c r="Z270" s="1693"/>
      <c r="AA270" s="1693"/>
      <c r="AB270" s="1693"/>
      <c r="AC270" s="1693"/>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0" t="s">
        <v>2629</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72" t="s">
        <v>2624</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372" t="s">
        <v>730</v>
      </c>
      <c r="M276" s="1418"/>
      <c r="N276" s="1418"/>
      <c r="O276" s="1418"/>
      <c r="P276" s="1418"/>
      <c r="Q276" s="1418"/>
      <c r="R276" s="1418"/>
      <c r="S276" s="1418"/>
      <c r="U276" s="33" t="s">
        <v>86</v>
      </c>
      <c r="V276" s="1547" t="s">
        <v>2625</v>
      </c>
      <c r="W276" s="1438"/>
      <c r="X276" s="4" t="s">
        <v>583</v>
      </c>
      <c r="AB276" s="1418">
        <v>94102</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2" t="s">
        <v>2626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2627</v>
      </c>
      <c r="M278" s="1347"/>
      <c r="N278" s="1347"/>
      <c r="O278" s="1347"/>
      <c r="P278" s="1347"/>
      <c r="Q278" s="1347"/>
      <c r="R278" s="4" t="s">
        <v>205</v>
      </c>
      <c r="S278" s="4"/>
      <c r="T278" s="1438"/>
      <c r="U278" s="1438"/>
      <c r="V278" s="1438"/>
      <c r="W278" s="4" t="s">
        <v>89</v>
      </c>
      <c r="Y278" s="1347"/>
      <c r="Z278" s="1347"/>
      <c r="AA278" s="1347"/>
      <c r="AB278" s="1347"/>
      <c r="AC278" s="1347"/>
      <c r="AD278" s="1347"/>
    </row>
    <row r="279" spans="1:51" ht="12.95" customHeight="1">
      <c r="D279" s="4" t="s">
        <v>90</v>
      </c>
      <c r="E279" s="4"/>
      <c r="F279" s="4"/>
      <c r="L279" s="1785" t="s">
        <v>2628</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623</v>
      </c>
      <c r="E280" s="3"/>
      <c r="F280" s="3"/>
      <c r="G280" s="3"/>
      <c r="H280" s="3"/>
      <c r="I280" s="3"/>
      <c r="L280" s="1547" t="s">
        <v>2635</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3" t="s">
        <v>2629</v>
      </c>
      <c r="I287" s="1373"/>
      <c r="J287" s="1373"/>
      <c r="K287" s="1373"/>
      <c r="L287" s="1373"/>
      <c r="M287" s="1373"/>
      <c r="N287" s="1373"/>
      <c r="O287" s="1373"/>
      <c r="P287" s="1373"/>
      <c r="Q287" s="1373"/>
      <c r="R287" s="1373"/>
      <c r="T287" s="3" t="s">
        <v>567</v>
      </c>
      <c r="V287" s="3"/>
      <c r="W287" s="3"/>
      <c r="X287" s="3"/>
      <c r="Y287" s="3"/>
      <c r="AA287" s="1373" t="s">
        <v>2638</v>
      </c>
      <c r="AB287" s="1373"/>
      <c r="AC287" s="1373"/>
      <c r="AD287" s="1373"/>
      <c r="AE287" s="1373"/>
      <c r="AF287" s="1373"/>
      <c r="AG287" s="1373"/>
      <c r="AH287" s="1373"/>
      <c r="AI287" s="1373"/>
      <c r="AJ287" s="1373"/>
      <c r="AK287" s="1373"/>
    </row>
    <row r="288" spans="1:51" ht="12.95" customHeight="1">
      <c r="B288" s="3" t="s">
        <v>471</v>
      </c>
      <c r="C288" s="3"/>
      <c r="D288" s="3"/>
      <c r="E288" s="3"/>
      <c r="F288" s="3"/>
      <c r="H288" s="1349" t="s">
        <v>2636</v>
      </c>
      <c r="I288" s="1349"/>
      <c r="J288" s="1349"/>
      <c r="K288" s="1349"/>
      <c r="L288" s="1349"/>
      <c r="M288" s="1349"/>
      <c r="N288" s="1349"/>
      <c r="O288" s="1349"/>
      <c r="P288" s="1349"/>
      <c r="Q288" s="1349"/>
      <c r="R288" s="1349"/>
      <c r="T288" s="3" t="s">
        <v>471</v>
      </c>
      <c r="V288" s="3"/>
      <c r="W288" s="3"/>
      <c r="X288" s="3"/>
      <c r="Y288" s="3"/>
      <c r="AA288" s="1349" t="s">
        <v>2639</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2637</v>
      </c>
      <c r="I289" s="1349"/>
      <c r="J289" s="1349"/>
      <c r="K289" s="1349"/>
      <c r="L289" s="1349"/>
      <c r="M289" s="1349"/>
      <c r="N289" s="1349"/>
      <c r="O289" s="1349"/>
      <c r="P289" s="1349"/>
      <c r="Q289" s="1349"/>
      <c r="R289" s="1349"/>
      <c r="T289" s="3" t="s">
        <v>75</v>
      </c>
      <c r="V289" s="3"/>
      <c r="W289" s="3"/>
      <c r="X289" s="3"/>
      <c r="Y289" s="3"/>
      <c r="AA289" s="1349" t="s">
        <v>2640</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2632</v>
      </c>
      <c r="I290" s="1349"/>
      <c r="J290" s="1349"/>
      <c r="K290" s="1349"/>
      <c r="L290" s="1349"/>
      <c r="M290" s="1349"/>
      <c r="N290" s="1349"/>
      <c r="O290" s="1349"/>
      <c r="P290" s="1349"/>
      <c r="Q290" s="1349"/>
      <c r="R290" s="1349"/>
      <c r="T290" s="3" t="s">
        <v>87</v>
      </c>
      <c r="V290" s="3"/>
      <c r="W290" s="3"/>
      <c r="X290" s="3"/>
      <c r="Y290" s="3"/>
      <c r="AA290" s="1349" t="s">
        <v>2641</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2633</v>
      </c>
      <c r="I291" s="1425"/>
      <c r="J291" s="1425"/>
      <c r="K291" s="1425"/>
      <c r="L291" s="1425"/>
      <c r="M291" s="1425"/>
      <c r="N291" s="4" t="s">
        <v>205</v>
      </c>
      <c r="O291" s="4"/>
      <c r="P291" s="1418"/>
      <c r="Q291" s="1418"/>
      <c r="R291" s="1418"/>
      <c r="S291" s="3"/>
      <c r="T291" s="3" t="s">
        <v>88</v>
      </c>
      <c r="V291" s="3"/>
      <c r="W291" s="3"/>
      <c r="X291" s="3"/>
      <c r="Y291" s="3"/>
      <c r="AA291" s="1424" t="s">
        <v>2671</v>
      </c>
      <c r="AB291" s="1425"/>
      <c r="AC291" s="1425"/>
      <c r="AD291" s="1425"/>
      <c r="AE291" s="1425"/>
      <c r="AF291" s="1425"/>
      <c r="AG291" s="4" t="s">
        <v>205</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2634</v>
      </c>
      <c r="I293" s="1349"/>
      <c r="J293" s="1349"/>
      <c r="K293" s="1349"/>
      <c r="L293" s="1349"/>
      <c r="M293" s="1349"/>
      <c r="N293" s="1373"/>
      <c r="O293" s="1373"/>
      <c r="P293" s="1373"/>
      <c r="Q293" s="1373"/>
      <c r="R293" s="1373"/>
      <c r="S293" s="3"/>
      <c r="T293" s="3" t="s">
        <v>76</v>
      </c>
      <c r="V293" s="3"/>
      <c r="W293" s="3"/>
      <c r="X293" s="3"/>
      <c r="Y293" s="3"/>
      <c r="AA293" s="1349" t="s">
        <v>2680</v>
      </c>
      <c r="AB293" s="1349"/>
      <c r="AC293" s="1349"/>
      <c r="AD293" s="1349"/>
      <c r="AE293" s="1349"/>
      <c r="AF293" s="1349"/>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3" t="s">
        <v>2642</v>
      </c>
      <c r="I295" s="1373"/>
      <c r="J295" s="1373"/>
      <c r="K295" s="1373"/>
      <c r="L295" s="1373"/>
      <c r="M295" s="1373"/>
      <c r="N295" s="1373"/>
      <c r="O295" s="1373"/>
      <c r="P295" s="1373"/>
      <c r="Q295" s="1373"/>
      <c r="R295" s="1373"/>
      <c r="T295" s="3" t="s">
        <v>363</v>
      </c>
      <c r="V295" s="3"/>
      <c r="W295" s="3"/>
      <c r="X295" s="3"/>
      <c r="Y295" s="3"/>
      <c r="AA295" s="1373" t="s">
        <v>2646</v>
      </c>
      <c r="AB295" s="1373"/>
      <c r="AC295" s="1373"/>
      <c r="AD295" s="1373"/>
      <c r="AE295" s="1373"/>
      <c r="AF295" s="1373"/>
      <c r="AG295" s="1373"/>
      <c r="AH295" s="1373"/>
      <c r="AI295" s="1373"/>
      <c r="AJ295" s="1373"/>
      <c r="AK295" s="1373"/>
    </row>
    <row r="296" spans="2:37" ht="12.95" customHeight="1">
      <c r="B296" s="3" t="s">
        <v>471</v>
      </c>
      <c r="C296" s="3"/>
      <c r="D296" s="3"/>
      <c r="E296" s="3"/>
      <c r="F296" s="3"/>
      <c r="H296" s="1349" t="s">
        <v>2643</v>
      </c>
      <c r="I296" s="1349"/>
      <c r="J296" s="1349"/>
      <c r="K296" s="1349"/>
      <c r="L296" s="1349"/>
      <c r="M296" s="1349"/>
      <c r="N296" s="1349"/>
      <c r="O296" s="1349"/>
      <c r="P296" s="1349"/>
      <c r="Q296" s="1349"/>
      <c r="R296" s="1349"/>
      <c r="T296" s="3" t="s">
        <v>471</v>
      </c>
      <c r="V296" s="3"/>
      <c r="W296" s="3"/>
      <c r="X296" s="3"/>
      <c r="Y296" s="3"/>
      <c r="AA296" s="1349" t="s">
        <v>2647</v>
      </c>
      <c r="AB296" s="1349"/>
      <c r="AC296" s="1349"/>
      <c r="AD296" s="1349"/>
      <c r="AE296" s="1349"/>
      <c r="AF296" s="1349"/>
      <c r="AG296" s="1349"/>
      <c r="AH296" s="1349"/>
      <c r="AI296" s="1349"/>
      <c r="AJ296" s="1349"/>
      <c r="AK296" s="1349"/>
    </row>
    <row r="297" spans="2:37" ht="12.95" customHeight="1">
      <c r="B297" s="3" t="s">
        <v>472</v>
      </c>
      <c r="C297" s="3"/>
      <c r="D297" s="3"/>
      <c r="E297" s="3"/>
      <c r="F297" s="3"/>
      <c r="H297" s="1349" t="s">
        <v>2644</v>
      </c>
      <c r="I297" s="1349"/>
      <c r="J297" s="1349"/>
      <c r="K297" s="1349"/>
      <c r="L297" s="1349"/>
      <c r="M297" s="1349"/>
      <c r="N297" s="1349"/>
      <c r="O297" s="1349"/>
      <c r="P297" s="1349"/>
      <c r="Q297" s="1349"/>
      <c r="R297" s="1349"/>
      <c r="T297" s="3" t="s">
        <v>75</v>
      </c>
      <c r="V297" s="3"/>
      <c r="W297" s="3"/>
      <c r="X297" s="3"/>
      <c r="Y297" s="3"/>
      <c r="AA297" s="1349" t="s">
        <v>2644</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2645</v>
      </c>
      <c r="I298" s="1349"/>
      <c r="J298" s="1349"/>
      <c r="K298" s="1349"/>
      <c r="L298" s="1349"/>
      <c r="M298" s="1349"/>
      <c r="N298" s="1349"/>
      <c r="O298" s="1349"/>
      <c r="P298" s="1349"/>
      <c r="Q298" s="1349"/>
      <c r="R298" s="1349"/>
      <c r="T298" s="3" t="s">
        <v>87</v>
      </c>
      <c r="V298" s="3"/>
      <c r="W298" s="3"/>
      <c r="X298" s="3"/>
      <c r="Y298" s="3"/>
      <c r="AA298" s="1349" t="s">
        <v>2648</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2672</v>
      </c>
      <c r="I299" s="1425"/>
      <c r="J299" s="1425"/>
      <c r="K299" s="1425"/>
      <c r="L299" s="1425"/>
      <c r="M299" s="1425"/>
      <c r="N299" s="4" t="s">
        <v>205</v>
      </c>
      <c r="O299" s="4"/>
      <c r="P299" s="1418"/>
      <c r="Q299" s="1418"/>
      <c r="R299" s="1418"/>
      <c r="S299" s="3"/>
      <c r="T299" s="3" t="s">
        <v>88</v>
      </c>
      <c r="V299" s="3"/>
      <c r="W299" s="3"/>
      <c r="X299" s="3"/>
      <c r="Y299" s="3"/>
      <c r="AA299" s="1424" t="s">
        <v>2673</v>
      </c>
      <c r="AB299" s="1425"/>
      <c r="AC299" s="1425"/>
      <c r="AD299" s="1425"/>
      <c r="AE299" s="1425"/>
      <c r="AF299" s="1425"/>
      <c r="AG299" s="4" t="s">
        <v>205</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2681</v>
      </c>
      <c r="I301" s="1349"/>
      <c r="J301" s="1349"/>
      <c r="K301" s="1349"/>
      <c r="L301" s="1349"/>
      <c r="M301" s="1349"/>
      <c r="N301" s="1373"/>
      <c r="O301" s="1373"/>
      <c r="P301" s="1373"/>
      <c r="Q301" s="1373"/>
      <c r="R301" s="1373"/>
      <c r="S301" s="3"/>
      <c r="T301" s="3" t="s">
        <v>76</v>
      </c>
      <c r="V301" s="3"/>
      <c r="W301" s="3"/>
      <c r="X301" s="3"/>
      <c r="Y301" s="3"/>
      <c r="AA301" s="1349" t="s">
        <v>2682</v>
      </c>
      <c r="AB301" s="1349"/>
      <c r="AC301" s="1349"/>
      <c r="AD301" s="1349"/>
      <c r="AE301" s="1349"/>
      <c r="AF301" s="1349"/>
      <c r="AG301" s="1373"/>
      <c r="AH301" s="1373"/>
      <c r="AI301" s="1373"/>
      <c r="AJ301" s="1373"/>
      <c r="AK301" s="1373"/>
    </row>
    <row r="302" spans="2:37" ht="12.95" customHeight="1"/>
    <row r="303" spans="2:37" ht="12.95" customHeight="1">
      <c r="B303" s="3" t="s">
        <v>77</v>
      </c>
      <c r="C303" s="3"/>
      <c r="D303" s="3"/>
      <c r="E303" s="3"/>
      <c r="F303" s="3"/>
      <c r="H303" s="1373" t="s">
        <v>2642</v>
      </c>
      <c r="I303" s="1373"/>
      <c r="J303" s="1373"/>
      <c r="K303" s="1373"/>
      <c r="L303" s="1373"/>
      <c r="M303" s="1373"/>
      <c r="N303" s="1373"/>
      <c r="O303" s="1373"/>
      <c r="P303" s="1373"/>
      <c r="Q303" s="1373"/>
      <c r="R303" s="1373"/>
      <c r="T303" s="4" t="s">
        <v>878</v>
      </c>
      <c r="V303" s="3"/>
      <c r="W303" s="3"/>
      <c r="X303" s="3"/>
      <c r="Y303" s="3"/>
      <c r="AA303" s="1373"/>
      <c r="AB303" s="1373"/>
      <c r="AC303" s="1373"/>
      <c r="AD303" s="1373"/>
      <c r="AE303" s="1373"/>
      <c r="AF303" s="1373"/>
      <c r="AG303" s="1373"/>
      <c r="AH303" s="1373"/>
      <c r="AI303" s="1373"/>
      <c r="AJ303" s="1373"/>
      <c r="AK303" s="1373"/>
    </row>
    <row r="304" spans="2:37" ht="12.95" customHeight="1">
      <c r="B304" s="3" t="s">
        <v>471</v>
      </c>
      <c r="C304" s="3"/>
      <c r="D304" s="3"/>
      <c r="E304" s="3"/>
      <c r="F304" s="3"/>
      <c r="H304" s="1349" t="s">
        <v>2643</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2.95" customHeight="1">
      <c r="B305" s="3" t="s">
        <v>472</v>
      </c>
      <c r="C305" s="3"/>
      <c r="D305" s="3"/>
      <c r="E305" s="3"/>
      <c r="F305" s="3"/>
      <c r="H305" s="1349" t="s">
        <v>2644</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2645</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2672</v>
      </c>
      <c r="I307" s="1425"/>
      <c r="J307" s="1425"/>
      <c r="K307" s="1425"/>
      <c r="L307" s="1425"/>
      <c r="M307" s="1425"/>
      <c r="N307" s="4" t="s">
        <v>205</v>
      </c>
      <c r="O307" s="4"/>
      <c r="P307" s="1418"/>
      <c r="Q307" s="1418"/>
      <c r="R307" s="1418"/>
      <c r="S307" s="3"/>
      <c r="T307" s="3" t="s">
        <v>88</v>
      </c>
      <c r="V307" s="3"/>
      <c r="W307" s="3"/>
      <c r="X307" s="3"/>
      <c r="Y307" s="3"/>
      <c r="AA307" s="1425"/>
      <c r="AB307" s="1425"/>
      <c r="AC307" s="1425"/>
      <c r="AD307" s="1425"/>
      <c r="AE307" s="1425"/>
      <c r="AF307" s="1425"/>
      <c r="AG307" s="4" t="s">
        <v>205</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2681</v>
      </c>
      <c r="I309" s="1349"/>
      <c r="J309" s="1349"/>
      <c r="K309" s="1349"/>
      <c r="L309" s="1349"/>
      <c r="M309" s="1349"/>
      <c r="N309" s="1373"/>
      <c r="O309" s="1373"/>
      <c r="P309" s="1373"/>
      <c r="Q309" s="1373"/>
      <c r="R309" s="1373"/>
      <c r="S309" s="3"/>
      <c r="T309" s="3" t="s">
        <v>76</v>
      </c>
      <c r="V309" s="3"/>
      <c r="W309" s="3"/>
      <c r="X309" s="3"/>
      <c r="Y309" s="3"/>
      <c r="AA309" s="1349"/>
      <c r="AB309" s="1349"/>
      <c r="AC309" s="1349"/>
      <c r="AD309" s="1349"/>
      <c r="AE309" s="1349"/>
      <c r="AF309" s="1349"/>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3" t="s">
        <v>2649</v>
      </c>
      <c r="I311" s="1373"/>
      <c r="J311" s="1373"/>
      <c r="K311" s="1373"/>
      <c r="L311" s="1373"/>
      <c r="M311" s="1373"/>
      <c r="N311" s="1373"/>
      <c r="O311" s="1373"/>
      <c r="P311" s="1373"/>
      <c r="Q311" s="1373"/>
      <c r="R311" s="1373"/>
      <c r="S311" s="3"/>
      <c r="T311" s="3" t="s">
        <v>364</v>
      </c>
      <c r="V311" s="3"/>
      <c r="W311" s="3"/>
      <c r="X311" s="3"/>
      <c r="Y311" s="3"/>
      <c r="AA311" s="1373"/>
      <c r="AB311" s="1373"/>
      <c r="AC311" s="1373"/>
      <c r="AD311" s="1373"/>
      <c r="AE311" s="1373"/>
      <c r="AF311" s="1373"/>
      <c r="AG311" s="1373"/>
      <c r="AH311" s="1373"/>
      <c r="AI311" s="1373"/>
      <c r="AJ311" s="1373"/>
      <c r="AK311" s="1373"/>
    </row>
    <row r="312" spans="2:37" ht="12.95" customHeight="1">
      <c r="B312" s="3" t="s">
        <v>471</v>
      </c>
      <c r="C312" s="3"/>
      <c r="D312" s="3"/>
      <c r="E312" s="3"/>
      <c r="F312" s="3"/>
      <c r="H312" s="1349" t="s">
        <v>2650</v>
      </c>
      <c r="I312" s="1349"/>
      <c r="J312" s="1349"/>
      <c r="K312" s="1349"/>
      <c r="L312" s="1349"/>
      <c r="M312" s="1349"/>
      <c r="N312" s="1349"/>
      <c r="O312" s="1349"/>
      <c r="P312" s="1349"/>
      <c r="Q312" s="1349"/>
      <c r="R312" s="1349"/>
      <c r="S312" s="3"/>
      <c r="T312" s="3" t="s">
        <v>471</v>
      </c>
      <c r="V312" s="3"/>
      <c r="W312" s="3"/>
      <c r="X312" s="3"/>
      <c r="Y312" s="3"/>
      <c r="AA312" s="1349"/>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2651</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2.95" customHeight="1">
      <c r="B314" s="3" t="s">
        <v>87</v>
      </c>
      <c r="C314" s="3"/>
      <c r="D314" s="3"/>
      <c r="E314" s="3"/>
      <c r="F314" s="3"/>
      <c r="H314" s="1349" t="s">
        <v>2652</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2674</v>
      </c>
      <c r="I315" s="1425"/>
      <c r="J315" s="1425"/>
      <c r="K315" s="1425"/>
      <c r="L315" s="1425"/>
      <c r="M315" s="1425"/>
      <c r="N315" s="4" t="s">
        <v>205</v>
      </c>
      <c r="O315" s="4"/>
      <c r="P315" s="1418"/>
      <c r="Q315" s="1418"/>
      <c r="R315" s="1418"/>
      <c r="S315" s="3"/>
      <c r="T315" s="3" t="s">
        <v>88</v>
      </c>
      <c r="V315" s="3"/>
      <c r="W315" s="3"/>
      <c r="X315" s="3"/>
      <c r="Y315" s="3"/>
      <c r="AA315" s="1425"/>
      <c r="AB315" s="1425"/>
      <c r="AC315" s="1425"/>
      <c r="AD315" s="1425"/>
      <c r="AE315" s="1425"/>
      <c r="AF315" s="1425"/>
      <c r="AG315" s="4" t="s">
        <v>205</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2683</v>
      </c>
      <c r="I317" s="1349"/>
      <c r="J317" s="1349"/>
      <c r="K317" s="1349"/>
      <c r="L317" s="1349"/>
      <c r="M317" s="1349"/>
      <c r="N317" s="1373"/>
      <c r="O317" s="1373"/>
      <c r="P317" s="1373"/>
      <c r="Q317" s="1373"/>
      <c r="R317" s="1373"/>
      <c r="S317" s="3"/>
      <c r="T317" s="3" t="s">
        <v>76</v>
      </c>
      <c r="V317" s="3"/>
      <c r="W317" s="3"/>
      <c r="X317" s="3"/>
      <c r="Y317" s="3"/>
      <c r="AA317" s="1349"/>
      <c r="AB317" s="1349"/>
      <c r="AC317" s="1349"/>
      <c r="AD317" s="1349"/>
      <c r="AE317" s="1349"/>
      <c r="AF317" s="1349"/>
      <c r="AG317" s="1373"/>
      <c r="AH317" s="1373"/>
      <c r="AI317" s="1373"/>
      <c r="AJ317" s="1373"/>
      <c r="AK317" s="1373"/>
    </row>
    <row r="318" spans="2:37" ht="12.95" customHeight="1"/>
    <row r="319" spans="2:37" ht="12.95" customHeight="1">
      <c r="B319" s="4" t="s">
        <v>908</v>
      </c>
      <c r="C319" s="3"/>
      <c r="D319" s="3"/>
      <c r="E319" s="3"/>
      <c r="F319" s="3"/>
      <c r="H319" s="1373" t="s">
        <v>2653</v>
      </c>
      <c r="I319" s="1373"/>
      <c r="J319" s="1373"/>
      <c r="K319" s="1373"/>
      <c r="L319" s="1373"/>
      <c r="M319" s="1373"/>
      <c r="N319" s="1373"/>
      <c r="O319" s="1373"/>
      <c r="P319" s="1373"/>
      <c r="Q319" s="1373"/>
      <c r="R319" s="1373"/>
      <c r="T319" s="3" t="s">
        <v>365</v>
      </c>
      <c r="V319" s="3"/>
      <c r="W319" s="3"/>
      <c r="X319" s="3"/>
      <c r="Y319" s="3"/>
      <c r="AA319" s="1373" t="s">
        <v>2657</v>
      </c>
      <c r="AB319" s="1373"/>
      <c r="AC319" s="1373"/>
      <c r="AD319" s="1373"/>
      <c r="AE319" s="1373"/>
      <c r="AF319" s="1373"/>
      <c r="AG319" s="1373"/>
      <c r="AH319" s="1373"/>
      <c r="AI319" s="1373"/>
      <c r="AJ319" s="1373"/>
      <c r="AK319" s="1373"/>
    </row>
    <row r="320" spans="2:37" ht="12.95" customHeight="1">
      <c r="B320" s="3" t="s">
        <v>471</v>
      </c>
      <c r="C320" s="3"/>
      <c r="D320" s="3"/>
      <c r="E320" s="3"/>
      <c r="F320" s="3"/>
      <c r="H320" s="1349" t="s">
        <v>2654</v>
      </c>
      <c r="I320" s="1349"/>
      <c r="J320" s="1349"/>
      <c r="K320" s="1349"/>
      <c r="L320" s="1349"/>
      <c r="M320" s="1349"/>
      <c r="N320" s="1349"/>
      <c r="O320" s="1349"/>
      <c r="P320" s="1349"/>
      <c r="Q320" s="1349"/>
      <c r="R320" s="1349"/>
      <c r="T320" s="3" t="s">
        <v>471</v>
      </c>
      <c r="V320" s="3"/>
      <c r="W320" s="3"/>
      <c r="X320" s="3"/>
      <c r="Y320" s="3"/>
      <c r="AA320" s="1349" t="s">
        <v>2658</v>
      </c>
      <c r="AB320" s="1349"/>
      <c r="AC320" s="1349"/>
      <c r="AD320" s="1349"/>
      <c r="AE320" s="1349"/>
      <c r="AF320" s="1349"/>
      <c r="AG320" s="1349"/>
      <c r="AH320" s="1349"/>
      <c r="AI320" s="1349"/>
      <c r="AJ320" s="1349"/>
      <c r="AK320" s="1349"/>
    </row>
    <row r="321" spans="2:37" ht="12.95" customHeight="1">
      <c r="B321" s="3" t="s">
        <v>472</v>
      </c>
      <c r="C321" s="3"/>
      <c r="D321" s="3"/>
      <c r="E321" s="3"/>
      <c r="F321" s="3"/>
      <c r="H321" s="1349" t="s">
        <v>2655</v>
      </c>
      <c r="I321" s="1349"/>
      <c r="J321" s="1349"/>
      <c r="K321" s="1349"/>
      <c r="L321" s="1349"/>
      <c r="M321" s="1349"/>
      <c r="N321" s="1349"/>
      <c r="O321" s="1349"/>
      <c r="P321" s="1349"/>
      <c r="Q321" s="1349"/>
      <c r="R321" s="1349"/>
      <c r="T321" s="3" t="s">
        <v>75</v>
      </c>
      <c r="V321" s="3"/>
      <c r="W321" s="3"/>
      <c r="X321" s="3"/>
      <c r="Y321" s="3"/>
      <c r="AA321" s="1349" t="s">
        <v>2659</v>
      </c>
      <c r="AB321" s="1349"/>
      <c r="AC321" s="1349"/>
      <c r="AD321" s="1349"/>
      <c r="AE321" s="1349"/>
      <c r="AF321" s="1349"/>
      <c r="AG321" s="1349"/>
      <c r="AH321" s="1349"/>
      <c r="AI321" s="1349"/>
      <c r="AJ321" s="1349"/>
      <c r="AK321" s="1349"/>
    </row>
    <row r="322" spans="2:37" ht="12.95" customHeight="1">
      <c r="B322" s="3" t="s">
        <v>87</v>
      </c>
      <c r="C322" s="3"/>
      <c r="D322" s="3"/>
      <c r="E322" s="3"/>
      <c r="F322" s="3"/>
      <c r="H322" s="1349" t="s">
        <v>2656</v>
      </c>
      <c r="I322" s="1349"/>
      <c r="J322" s="1349"/>
      <c r="K322" s="1349"/>
      <c r="L322" s="1349"/>
      <c r="M322" s="1349"/>
      <c r="N322" s="1349"/>
      <c r="O322" s="1349"/>
      <c r="P322" s="1349"/>
      <c r="Q322" s="1349"/>
      <c r="R322" s="1349"/>
      <c r="T322" s="3" t="s">
        <v>87</v>
      </c>
      <c r="V322" s="3"/>
      <c r="W322" s="3"/>
      <c r="X322" s="3"/>
      <c r="Y322" s="3"/>
      <c r="AA322" s="1349" t="s">
        <v>2660</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t="s">
        <v>2676</v>
      </c>
      <c r="I323" s="1425"/>
      <c r="J323" s="1425"/>
      <c r="K323" s="1425"/>
      <c r="L323" s="1425"/>
      <c r="M323" s="1425"/>
      <c r="N323" s="4" t="s">
        <v>205</v>
      </c>
      <c r="O323" s="4"/>
      <c r="P323" s="1418"/>
      <c r="Q323" s="1418"/>
      <c r="R323" s="1418"/>
      <c r="S323" s="3"/>
      <c r="T323" s="3" t="s">
        <v>88</v>
      </c>
      <c r="V323" s="3"/>
      <c r="W323" s="3"/>
      <c r="X323" s="3"/>
      <c r="Y323" s="3"/>
      <c r="AA323" s="1424" t="s">
        <v>2677</v>
      </c>
      <c r="AB323" s="1425"/>
      <c r="AC323" s="1425"/>
      <c r="AD323" s="1425"/>
      <c r="AE323" s="1425"/>
      <c r="AF323" s="1425"/>
      <c r="AG323" s="4" t="s">
        <v>205</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t="s">
        <v>2684</v>
      </c>
      <c r="I325" s="1349"/>
      <c r="J325" s="1349"/>
      <c r="K325" s="1349"/>
      <c r="L325" s="1349"/>
      <c r="M325" s="1349"/>
      <c r="N325" s="1373"/>
      <c r="O325" s="1373"/>
      <c r="P325" s="1373"/>
      <c r="Q325" s="1373"/>
      <c r="R325" s="1373"/>
      <c r="S325" s="3"/>
      <c r="T325" s="3" t="s">
        <v>76</v>
      </c>
      <c r="V325" s="3"/>
      <c r="W325" s="3"/>
      <c r="X325" s="3"/>
      <c r="Y325" s="3"/>
      <c r="AA325" s="1349" t="s">
        <v>2685</v>
      </c>
      <c r="AB325" s="1349"/>
      <c r="AC325" s="1349"/>
      <c r="AD325" s="1349"/>
      <c r="AE325" s="1349"/>
      <c r="AF325" s="1349"/>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3" t="s">
        <v>2661</v>
      </c>
      <c r="I327" s="1373"/>
      <c r="J327" s="1373"/>
      <c r="K327" s="1373"/>
      <c r="L327" s="1373"/>
      <c r="M327" s="1373"/>
      <c r="N327" s="1373"/>
      <c r="O327" s="1373"/>
      <c r="P327" s="1373"/>
      <c r="Q327" s="1373"/>
      <c r="R327" s="1373"/>
      <c r="T327" s="3" t="s">
        <v>367</v>
      </c>
      <c r="V327" s="3"/>
      <c r="W327" s="3"/>
      <c r="X327" s="3"/>
      <c r="Y327" s="3"/>
      <c r="AA327" s="1373"/>
      <c r="AB327" s="1373"/>
      <c r="AC327" s="1373"/>
      <c r="AD327" s="1373"/>
      <c r="AE327" s="1373"/>
      <c r="AF327" s="1373"/>
      <c r="AG327" s="1373"/>
      <c r="AH327" s="1373"/>
      <c r="AI327" s="1373"/>
      <c r="AJ327" s="1373"/>
      <c r="AK327" s="1373"/>
    </row>
    <row r="328" spans="2:37" ht="12.95" customHeight="1">
      <c r="B328" s="3" t="s">
        <v>471</v>
      </c>
      <c r="C328" s="3"/>
      <c r="D328" s="3"/>
      <c r="E328" s="3"/>
      <c r="F328" s="3"/>
      <c r="H328" s="1349" t="s">
        <v>2662</v>
      </c>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2.95" customHeight="1">
      <c r="B329" s="3" t="s">
        <v>472</v>
      </c>
      <c r="C329" s="3"/>
      <c r="D329" s="3"/>
      <c r="E329" s="3"/>
      <c r="F329" s="3"/>
      <c r="H329" s="1349" t="s">
        <v>2663</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t="s">
        <v>2661</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t="s">
        <v>2675</v>
      </c>
      <c r="I331" s="1425"/>
      <c r="J331" s="1425"/>
      <c r="K331" s="1425"/>
      <c r="L331" s="1425"/>
      <c r="M331" s="1425"/>
      <c r="N331" s="4" t="s">
        <v>205</v>
      </c>
      <c r="O331" s="4"/>
      <c r="P331" s="1418"/>
      <c r="Q331" s="1418"/>
      <c r="R331" s="1418"/>
      <c r="S331" s="3"/>
      <c r="T331" s="3" t="s">
        <v>88</v>
      </c>
      <c r="V331" s="3"/>
      <c r="W331" s="3"/>
      <c r="X331" s="3"/>
      <c r="Y331" s="3"/>
      <c r="AA331" s="1425"/>
      <c r="AB331" s="1425"/>
      <c r="AC331" s="1425"/>
      <c r="AD331" s="1425"/>
      <c r="AE331" s="1425"/>
      <c r="AF331" s="1425"/>
      <c r="AG331" s="4" t="s">
        <v>205</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2686</v>
      </c>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3" t="s">
        <v>2664</v>
      </c>
      <c r="I335" s="1373"/>
      <c r="J335" s="1373"/>
      <c r="K335" s="1373"/>
      <c r="L335" s="1373"/>
      <c r="M335" s="1373"/>
      <c r="N335" s="1373"/>
      <c r="O335" s="1373"/>
      <c r="P335" s="1373"/>
      <c r="Q335" s="1373"/>
      <c r="R335" s="1373"/>
      <c r="T335" s="204" t="s">
        <v>886</v>
      </c>
      <c r="V335" s="3"/>
      <c r="W335" s="3"/>
      <c r="X335" s="3"/>
      <c r="Y335" s="3"/>
      <c r="AA335" s="1373" t="s">
        <v>2668</v>
      </c>
      <c r="AB335" s="1373"/>
      <c r="AC335" s="1373"/>
      <c r="AD335" s="1373"/>
      <c r="AE335" s="1373"/>
      <c r="AF335" s="1373"/>
      <c r="AG335" s="1373"/>
      <c r="AH335" s="1373"/>
      <c r="AI335" s="1373"/>
      <c r="AJ335" s="1373"/>
      <c r="AK335" s="1373"/>
    </row>
    <row r="336" spans="2:37" ht="12.95" customHeight="1">
      <c r="B336" s="3" t="s">
        <v>471</v>
      </c>
      <c r="C336" s="3"/>
      <c r="D336" s="3"/>
      <c r="E336" s="3"/>
      <c r="F336" s="3"/>
      <c r="H336" s="1349" t="s">
        <v>2665</v>
      </c>
      <c r="I336" s="1349"/>
      <c r="J336" s="1349"/>
      <c r="K336" s="1349"/>
      <c r="L336" s="1349"/>
      <c r="M336" s="1349"/>
      <c r="N336" s="1349"/>
      <c r="O336" s="1349"/>
      <c r="P336" s="1349"/>
      <c r="Q336" s="1349"/>
      <c r="R336" s="1349"/>
      <c r="T336" s="3" t="s">
        <v>471</v>
      </c>
      <c r="V336" s="3"/>
      <c r="W336" s="3"/>
      <c r="X336" s="3"/>
      <c r="Y336" s="3"/>
      <c r="AA336" s="1349" t="s">
        <v>2636</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2666</v>
      </c>
      <c r="I337" s="1349"/>
      <c r="J337" s="1349"/>
      <c r="K337" s="1349"/>
      <c r="L337" s="1349"/>
      <c r="M337" s="1349"/>
      <c r="N337" s="1349"/>
      <c r="O337" s="1349"/>
      <c r="P337" s="1349"/>
      <c r="Q337" s="1349"/>
      <c r="R337" s="1349"/>
      <c r="T337" s="3" t="s">
        <v>75</v>
      </c>
      <c r="V337" s="3"/>
      <c r="W337" s="3"/>
      <c r="X337" s="3"/>
      <c r="Y337" s="3"/>
      <c r="AA337" s="1349" t="s">
        <v>2669</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2667</v>
      </c>
      <c r="I338" s="1349"/>
      <c r="J338" s="1349"/>
      <c r="K338" s="1349"/>
      <c r="L338" s="1349"/>
      <c r="M338" s="1349"/>
      <c r="N338" s="1349"/>
      <c r="O338" s="1349"/>
      <c r="P338" s="1349"/>
      <c r="Q338" s="1349"/>
      <c r="R338" s="1349"/>
      <c r="T338" s="3" t="s">
        <v>87</v>
      </c>
      <c r="V338" s="3"/>
      <c r="W338" s="3"/>
      <c r="X338" s="3"/>
      <c r="Y338" s="3"/>
      <c r="AA338" s="1349" t="s">
        <v>2670</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2678</v>
      </c>
      <c r="I339" s="1425"/>
      <c r="J339" s="1425"/>
      <c r="K339" s="1425"/>
      <c r="L339" s="1425"/>
      <c r="M339" s="1425"/>
      <c r="N339" s="4" t="s">
        <v>205</v>
      </c>
      <c r="O339" s="4"/>
      <c r="P339" s="1418"/>
      <c r="Q339" s="1418"/>
      <c r="R339" s="1418"/>
      <c r="S339" s="3"/>
      <c r="T339" s="3" t="s">
        <v>88</v>
      </c>
      <c r="V339" s="3"/>
      <c r="W339" s="3"/>
      <c r="X339" s="3"/>
      <c r="Y339" s="3"/>
      <c r="AA339" s="1424" t="s">
        <v>2679</v>
      </c>
      <c r="AB339" s="1425"/>
      <c r="AC339" s="1425"/>
      <c r="AD339" s="1425"/>
      <c r="AE339" s="1425"/>
      <c r="AF339" s="1425"/>
      <c r="AG339" s="4" t="s">
        <v>205</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2687</v>
      </c>
      <c r="I341" s="1349"/>
      <c r="J341" s="1349"/>
      <c r="K341" s="1349"/>
      <c r="L341" s="1349"/>
      <c r="M341" s="1349"/>
      <c r="N341" s="1373"/>
      <c r="O341" s="1373"/>
      <c r="P341" s="1373"/>
      <c r="Q341" s="1373"/>
      <c r="R341" s="1373"/>
      <c r="S341" s="3"/>
      <c r="T341" s="3" t="s">
        <v>76</v>
      </c>
      <c r="V341" s="3"/>
      <c r="W341" s="3"/>
      <c r="X341" s="3"/>
      <c r="Y341" s="3"/>
      <c r="AA341" s="1349" t="s">
        <v>2688</v>
      </c>
      <c r="AB341" s="1349"/>
      <c r="AC341" s="1349"/>
      <c r="AD341" s="1349"/>
      <c r="AE341" s="1349"/>
      <c r="AF341" s="1349"/>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3"/>
      <c r="Q343" s="1373"/>
      <c r="R343" s="1373"/>
      <c r="S343" s="1373"/>
      <c r="T343" s="1373"/>
      <c r="U343" s="1373"/>
      <c r="V343" s="1373"/>
      <c r="W343" s="1373"/>
      <c r="X343" s="1373"/>
      <c r="Y343" s="1373"/>
      <c r="Z343" s="1373"/>
      <c r="AA343" s="1373"/>
      <c r="AB343" s="1373"/>
      <c r="AC343" s="1373"/>
      <c r="AD343" s="1373"/>
      <c r="AE343" s="1373"/>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2" t="s">
        <v>545</v>
      </c>
      <c r="N355" s="1332"/>
      <c r="P355" t="s">
        <v>1650</v>
      </c>
      <c r="AJ355" s="1332" t="s">
        <v>591</v>
      </c>
      <c r="AK355" s="1332"/>
    </row>
    <row r="356" spans="1:46" ht="12.95" customHeight="1">
      <c r="D356" s="3" t="s">
        <v>1639</v>
      </c>
      <c r="M356" s="1332" t="s">
        <v>591</v>
      </c>
      <c r="N356" s="1332"/>
      <c r="P356" s="3" t="s">
        <v>1719</v>
      </c>
      <c r="AJ356" s="1448"/>
      <c r="AK356" s="1448"/>
    </row>
    <row r="357" spans="1:46" ht="12.95" customHeight="1">
      <c r="D357" s="3" t="s">
        <v>704</v>
      </c>
      <c r="M357" s="1332" t="s">
        <v>591</v>
      </c>
      <c r="N357" s="1332"/>
      <c r="P357" t="s">
        <v>1649</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448</v>
      </c>
      <c r="F370" s="4"/>
      <c r="G370" s="4"/>
      <c r="H370" s="4"/>
      <c r="I370" s="4"/>
      <c r="J370" s="4"/>
      <c r="K370" s="4"/>
      <c r="L370" s="4"/>
      <c r="N370" s="1665"/>
      <c r="O370" s="1665"/>
      <c r="P370" s="1665"/>
      <c r="Q370" s="1665"/>
      <c r="R370" s="4"/>
      <c r="U370" s="4" t="s">
        <v>449</v>
      </c>
      <c r="V370" s="4"/>
      <c r="W370" s="4"/>
      <c r="X370" s="4"/>
      <c r="Y370" s="4"/>
      <c r="Z370" s="4"/>
      <c r="AA370" s="4"/>
      <c r="AB370" s="4"/>
      <c r="AC370" s="1665"/>
      <c r="AD370" s="1665"/>
      <c r="AE370" s="1665"/>
      <c r="AF370" s="1665"/>
    </row>
    <row r="371" spans="1:34" ht="12.95" customHeight="1">
      <c r="E371" s="4" t="s">
        <v>450</v>
      </c>
      <c r="F371" s="4"/>
      <c r="G371" s="4"/>
      <c r="H371" s="4"/>
      <c r="I371" s="4"/>
      <c r="J371" s="4"/>
      <c r="K371" s="4"/>
      <c r="L371" s="4"/>
      <c r="N371" s="1665"/>
      <c r="O371" s="1665"/>
      <c r="P371" s="1665"/>
      <c r="Q371" s="1665"/>
      <c r="R371" s="4"/>
      <c r="U371" s="4" t="s">
        <v>0</v>
      </c>
      <c r="V371" s="4"/>
      <c r="W371" s="4"/>
      <c r="X371" s="4"/>
      <c r="Y371" s="4"/>
      <c r="Z371" s="4"/>
      <c r="AA371" s="4"/>
      <c r="AB371" s="4"/>
      <c r="AC371" s="1665"/>
      <c r="AD371" s="1665"/>
      <c r="AE371" s="1665"/>
      <c r="AF371" s="1665"/>
    </row>
    <row r="372" spans="1:34" ht="12.95" customHeight="1">
      <c r="E372" s="4" t="s">
        <v>1</v>
      </c>
      <c r="F372" s="4"/>
      <c r="G372" s="4"/>
      <c r="H372" s="4"/>
      <c r="I372" s="4"/>
      <c r="J372" s="4"/>
      <c r="K372" s="4"/>
      <c r="L372" s="4"/>
      <c r="N372" s="1665"/>
      <c r="O372" s="1665"/>
      <c r="P372" s="1665"/>
      <c r="Q372" s="1665"/>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16"/>
      <c r="T377" s="1816"/>
      <c r="U377" s="1" t="s">
        <v>305</v>
      </c>
      <c r="V377" s="1816"/>
      <c r="W377" s="1816"/>
      <c r="Y377" t="s">
        <v>2080</v>
      </c>
      <c r="AC377" s="27" t="s">
        <v>304</v>
      </c>
      <c r="AD377" s="1816"/>
      <c r="AE377" s="1816"/>
      <c r="AF377" s="1" t="s">
        <v>305</v>
      </c>
      <c r="AG377" s="1816"/>
      <c r="AH377" s="1816"/>
    </row>
    <row r="378" spans="1:34" ht="12.95" customHeight="1">
      <c r="E378" s="4" t="s">
        <v>987</v>
      </c>
      <c r="F378" s="4"/>
      <c r="G378" s="4"/>
      <c r="H378" s="4"/>
      <c r="I378" s="4"/>
      <c r="J378" s="4"/>
      <c r="K378" s="4"/>
      <c r="L378" s="4"/>
      <c r="N378" s="1816"/>
      <c r="O378" s="1816"/>
      <c r="P378" s="1816"/>
    </row>
    <row r="379" spans="1:34" ht="12.95" customHeight="1">
      <c r="E379" s="204" t="s">
        <v>2086</v>
      </c>
      <c r="F379" s="4"/>
      <c r="G379" s="4"/>
      <c r="H379" s="4"/>
      <c r="I379" s="4"/>
      <c r="J379" s="4"/>
      <c r="K379" s="4"/>
      <c r="L379" s="4"/>
      <c r="AG379" s="1805" t="s">
        <v>591</v>
      </c>
      <c r="AH379" s="1805"/>
    </row>
    <row r="380" spans="1:34" ht="12.95" customHeight="1">
      <c r="E380" s="4"/>
      <c r="F380" s="4"/>
      <c r="G380" s="4" t="s">
        <v>2087</v>
      </c>
      <c r="H380" s="4"/>
      <c r="I380" s="4"/>
      <c r="J380" s="4"/>
      <c r="K380" s="4"/>
      <c r="L380" s="4"/>
      <c r="AG380" s="1805" t="s">
        <v>591</v>
      </c>
      <c r="AH380" s="1805"/>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3" t="s">
        <v>2689</v>
      </c>
      <c r="K385" s="1373"/>
      <c r="L385" s="1373"/>
      <c r="M385" s="1373"/>
      <c r="N385" s="1373"/>
      <c r="O385" s="1373"/>
      <c r="P385" s="1373"/>
      <c r="Q385" s="1373"/>
      <c r="R385" s="1373"/>
      <c r="S385" s="1373"/>
      <c r="T385" s="1373"/>
      <c r="U385" s="1373"/>
      <c r="V385" s="8" t="s">
        <v>83</v>
      </c>
      <c r="W385" s="8"/>
      <c r="X385" s="8"/>
      <c r="Y385" s="8"/>
      <c r="Z385" s="8"/>
      <c r="AA385" s="8"/>
      <c r="AB385" s="8"/>
      <c r="AC385" s="1373"/>
      <c r="AD385" s="1373"/>
      <c r="AE385" s="1373"/>
      <c r="AF385" s="1373"/>
      <c r="AG385" s="1373"/>
      <c r="AH385" s="1373"/>
      <c r="AI385" s="1373"/>
      <c r="AJ385" s="1373"/>
    </row>
    <row r="386" spans="4:36" ht="12.95" customHeight="1">
      <c r="D386" s="3" t="s">
        <v>1182</v>
      </c>
      <c r="J386" s="1349" t="s">
        <v>2632</v>
      </c>
      <c r="K386" s="1349"/>
      <c r="L386" s="1349"/>
      <c r="M386" s="1349"/>
      <c r="N386" s="1349"/>
      <c r="O386" s="1349"/>
      <c r="P386" s="1349"/>
      <c r="Q386" s="1349"/>
      <c r="R386" s="1349"/>
      <c r="S386" s="1349"/>
      <c r="T386" s="1349"/>
      <c r="U386" s="1349"/>
      <c r="V386" s="3" t="s">
        <v>1182</v>
      </c>
      <c r="W386" s="8"/>
      <c r="X386" s="8"/>
      <c r="Y386" s="8"/>
      <c r="Z386" s="8"/>
      <c r="AA386" s="8"/>
      <c r="AB386" s="8"/>
      <c r="AC386" s="1373"/>
      <c r="AD386" s="1373"/>
      <c r="AE386" s="1373"/>
      <c r="AF386" s="1373"/>
      <c r="AG386" s="1373"/>
      <c r="AH386" s="1373"/>
      <c r="AI386" s="1373"/>
      <c r="AJ386" s="1373"/>
    </row>
    <row r="387" spans="4:36" ht="12.95" customHeight="1">
      <c r="D387" s="3" t="s">
        <v>441</v>
      </c>
      <c r="J387" s="1349" t="s">
        <v>2690</v>
      </c>
      <c r="K387" s="1349"/>
      <c r="L387" s="1349"/>
      <c r="M387" s="1349"/>
      <c r="N387" s="1349"/>
      <c r="O387" s="1349"/>
      <c r="P387" s="1349"/>
      <c r="Q387" s="1349"/>
      <c r="R387" s="1349"/>
      <c r="S387" s="1349"/>
      <c r="T387" s="1349"/>
      <c r="U387" s="1349"/>
      <c r="V387" s="3" t="s">
        <v>441</v>
      </c>
      <c r="W387" s="8"/>
      <c r="X387" s="8"/>
      <c r="Y387" s="8"/>
      <c r="Z387" s="8"/>
      <c r="AA387" s="8"/>
      <c r="AB387" s="8"/>
      <c r="AC387" s="1373"/>
      <c r="AD387" s="1373"/>
      <c r="AE387" s="1373"/>
      <c r="AF387" s="1373"/>
      <c r="AG387" s="1373"/>
      <c r="AH387" s="1373"/>
      <c r="AI387" s="1373"/>
      <c r="AJ387" s="1373"/>
    </row>
    <row r="388" spans="4:36" ht="12.95" customHeight="1">
      <c r="D388" t="s">
        <v>1178</v>
      </c>
      <c r="J388" s="1404" t="s">
        <v>2691</v>
      </c>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2.95" customHeight="1">
      <c r="D389" t="s">
        <v>4</v>
      </c>
      <c r="Q389" s="1753">
        <v>44317</v>
      </c>
      <c r="R389" s="1753"/>
      <c r="S389" s="1753"/>
      <c r="T389" s="1753"/>
      <c r="U389" s="1753"/>
      <c r="V389" t="s">
        <v>308</v>
      </c>
      <c r="AI389" s="1332" t="s">
        <v>545</v>
      </c>
      <c r="AJ389" s="1332"/>
    </row>
    <row r="390" spans="4:36" ht="12.95" customHeight="1">
      <c r="D390" t="s">
        <v>5</v>
      </c>
      <c r="Q390" s="1535">
        <v>46203</v>
      </c>
      <c r="R390" s="1821"/>
      <c r="S390" s="1821"/>
      <c r="T390" s="1821"/>
      <c r="U390" s="1821"/>
      <c r="W390" s="21" t="s">
        <v>74</v>
      </c>
      <c r="AG390" s="1818"/>
      <c r="AH390" s="1818"/>
      <c r="AI390" s="1818"/>
      <c r="AJ390" s="1818"/>
    </row>
    <row r="391" spans="4:36" ht="12.95" customHeight="1">
      <c r="D391" t="s">
        <v>426</v>
      </c>
      <c r="Q391" s="1830">
        <v>1</v>
      </c>
      <c r="R391" s="1830"/>
      <c r="S391" s="1830"/>
      <c r="T391" s="1830"/>
      <c r="U391" s="1830"/>
      <c r="V391" s="3" t="s">
        <v>1181</v>
      </c>
      <c r="AG391" s="1819" t="s">
        <v>591</v>
      </c>
      <c r="AH391" s="1820"/>
      <c r="AI391" s="1820"/>
      <c r="AJ391" s="1820"/>
    </row>
    <row r="392" spans="4:36" ht="12.95" customHeight="1">
      <c r="D392" t="s">
        <v>88</v>
      </c>
      <c r="I392" s="1424" t="s">
        <v>2633</v>
      </c>
      <c r="J392" s="1425"/>
      <c r="K392" s="1425"/>
      <c r="L392" s="1425"/>
      <c r="M392" s="1425"/>
      <c r="N392" s="1425"/>
      <c r="Q392" s="4" t="s">
        <v>205</v>
      </c>
      <c r="S392" s="1829"/>
      <c r="T392" s="1829"/>
      <c r="U392" s="1829"/>
      <c r="V392" t="s">
        <v>73</v>
      </c>
      <c r="AI392" s="1332" t="s">
        <v>669</v>
      </c>
      <c r="AJ392" s="1332"/>
    </row>
    <row r="393" spans="4:36" ht="12.95" customHeight="1">
      <c r="D393" t="s">
        <v>309</v>
      </c>
      <c r="Q393" s="1410"/>
      <c r="R393" s="1410"/>
      <c r="S393" s="1410"/>
      <c r="T393" s="1410"/>
      <c r="U393" s="1410"/>
      <c r="V393" t="s">
        <v>310</v>
      </c>
      <c r="AG393" s="1818">
        <v>0</v>
      </c>
      <c r="AH393" s="1818"/>
      <c r="AI393" s="1818"/>
      <c r="AJ393" s="1818"/>
    </row>
    <row r="394" spans="4:36" ht="12.95" customHeight="1">
      <c r="D394" t="s">
        <v>311</v>
      </c>
      <c r="Q394" s="1757"/>
      <c r="R394" s="1757"/>
      <c r="S394" s="1757"/>
      <c r="T394" s="1757"/>
      <c r="U394" s="1757"/>
      <c r="V394" t="s">
        <v>1163</v>
      </c>
      <c r="AG394" s="1818">
        <v>0</v>
      </c>
      <c r="AH394" s="1818"/>
      <c r="AI394" s="1818"/>
      <c r="AJ394" s="1818"/>
    </row>
    <row r="395" spans="4:36" ht="12.95" customHeight="1">
      <c r="D395" t="s">
        <v>1162</v>
      </c>
      <c r="AG395" s="1818"/>
      <c r="AH395" s="1818"/>
      <c r="AI395" s="1818"/>
      <c r="AJ395" s="1818"/>
    </row>
    <row r="396" spans="4:36" ht="12.95" customHeight="1">
      <c r="AG396" s="456"/>
      <c r="AH396" s="456"/>
      <c r="AI396" s="456"/>
      <c r="AJ396" s="456"/>
    </row>
    <row r="397" spans="4:36" ht="12.95" customHeight="1">
      <c r="D397" s="3" t="s">
        <v>2143</v>
      </c>
      <c r="AG397" s="456"/>
      <c r="AH397" s="456"/>
      <c r="AI397" s="1332" t="s">
        <v>669</v>
      </c>
      <c r="AJ397" s="1332"/>
    </row>
    <row r="398" spans="4:36" ht="12.95" customHeight="1">
      <c r="D398" s="3" t="s">
        <v>1667</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1666</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1660</v>
      </c>
      <c r="S401" s="1752" t="s">
        <v>669</v>
      </c>
      <c r="T401" s="1752"/>
      <c r="U401" s="1752"/>
      <c r="V401" t="s">
        <v>1661</v>
      </c>
      <c r="AG401" s="1823"/>
      <c r="AH401" s="1823"/>
      <c r="AI401" s="1823"/>
      <c r="AJ401" s="1823"/>
    </row>
    <row r="402" spans="1:36" ht="12.95" customHeight="1">
      <c r="D402" s="3" t="s">
        <v>1658</v>
      </c>
      <c r="S402" s="1752" t="s">
        <v>591</v>
      </c>
      <c r="T402" s="1752"/>
      <c r="U402" s="1752"/>
      <c r="V402" t="s">
        <v>1663</v>
      </c>
      <c r="AE402" s="1817"/>
      <c r="AF402" s="1817"/>
      <c r="AG402" s="1817"/>
      <c r="AH402" s="1817"/>
      <c r="AI402" s="1817"/>
      <c r="AJ402" s="1817"/>
    </row>
    <row r="403" spans="1:36" ht="12.95" customHeight="1">
      <c r="D403" s="3" t="s">
        <v>1659</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1662</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1665</v>
      </c>
      <c r="E405" s="477"/>
      <c r="F405" s="477"/>
      <c r="G405" s="477"/>
      <c r="H405" s="477"/>
      <c r="I405" s="477"/>
      <c r="J405" s="477"/>
      <c r="K405" s="477"/>
      <c r="L405" s="477"/>
      <c r="M405" s="477"/>
      <c r="N405" s="477"/>
      <c r="O405" s="477"/>
      <c r="P405" s="477"/>
      <c r="Q405" s="477"/>
      <c r="R405" s="477"/>
      <c r="S405" s="1828" t="s">
        <v>2692</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372" t="s">
        <v>2693</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2.95" customHeight="1">
      <c r="E411" t="s">
        <v>106</v>
      </c>
      <c r="R411" s="1332" t="s">
        <v>545</v>
      </c>
      <c r="S411" s="1332"/>
      <c r="AC411" s="27" t="s">
        <v>570</v>
      </c>
      <c r="AD411" s="1665">
        <v>8</v>
      </c>
      <c r="AE411" s="1665"/>
    </row>
    <row r="412" spans="1:36" ht="12.95" customHeight="1">
      <c r="E412" t="s">
        <v>107</v>
      </c>
      <c r="R412" s="1332" t="s">
        <v>591</v>
      </c>
      <c r="S412" s="1332"/>
      <c r="AC412" s="27" t="s">
        <v>570</v>
      </c>
      <c r="AD412" s="1665"/>
      <c r="AE412" s="1665"/>
    </row>
    <row r="413" spans="1:36" ht="12.95" customHeight="1">
      <c r="E413" t="s">
        <v>108</v>
      </c>
      <c r="S413" s="1332" t="s">
        <v>591</v>
      </c>
      <c r="T413" s="1332"/>
    </row>
    <row r="414" spans="1:36" ht="12.95" customHeight="1">
      <c r="E414" t="s">
        <v>169</v>
      </c>
      <c r="H414" s="1758" t="s">
        <v>333</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590</v>
      </c>
      <c r="B417" s="2"/>
      <c r="C417" s="2"/>
      <c r="D417" s="2" t="s">
        <v>114</v>
      </c>
      <c r="AF417" s="2" t="s">
        <v>957</v>
      </c>
    </row>
    <row r="418" spans="1:39" ht="12.95" customHeight="1">
      <c r="E418" s="1816"/>
      <c r="F418" s="1816"/>
      <c r="G418" s="1816"/>
      <c r="H418" s="13" t="s">
        <v>115</v>
      </c>
      <c r="I418" s="1816"/>
      <c r="J418" s="1816"/>
      <c r="K418" s="1816"/>
      <c r="L418" t="s">
        <v>116</v>
      </c>
      <c r="N418" s="27" t="s">
        <v>575</v>
      </c>
      <c r="P418" s="1761">
        <v>0.21942999999999999</v>
      </c>
      <c r="Q418" s="1761"/>
      <c r="R418" s="1761"/>
      <c r="S418" t="s">
        <v>117</v>
      </c>
      <c r="W418" s="1827">
        <f>IF(E418&gt;0,(E418*I418),(P418*43560))</f>
        <v>9558.3707999999988</v>
      </c>
      <c r="X418" s="1827"/>
      <c r="Y418" s="1827"/>
      <c r="Z418" t="s">
        <v>118</v>
      </c>
      <c r="AF418" s="1762">
        <f>IFERROR(IF(P418&gt;0,(AG437/P418),(AG437/(W418/43560))),0)</f>
        <v>442.05441370824411</v>
      </c>
      <c r="AG418" s="1762"/>
      <c r="AH418" s="1762"/>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1736</v>
      </c>
      <c r="F421" s="1013"/>
      <c r="G421" s="1013"/>
      <c r="H421" s="1013"/>
      <c r="I421" s="1760">
        <v>0.22</v>
      </c>
      <c r="J421" s="1760"/>
      <c r="K421" s="1760"/>
      <c r="L421" s="1013"/>
      <c r="M421" s="118"/>
      <c r="N421" s="1013"/>
      <c r="O421" s="1013"/>
      <c r="P421" s="1442">
        <f>(DU755+DU778+DU800)/I421</f>
        <v>445.45454545454544</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608</v>
      </c>
      <c r="P429" s="1"/>
      <c r="Q429" s="1332" t="s">
        <v>545</v>
      </c>
      <c r="R429" s="1332"/>
    </row>
    <row r="430" spans="1:39" ht="12.95" customHeight="1">
      <c r="F430" t="s">
        <v>609</v>
      </c>
      <c r="P430" s="1"/>
      <c r="Q430" s="1"/>
      <c r="AF430" s="1332" t="s">
        <v>591</v>
      </c>
      <c r="AG430" s="1825"/>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3"/>
      <c r="AG437" s="1822">
        <v>97</v>
      </c>
      <c r="AH437" s="1822"/>
      <c r="AI437" s="1822"/>
      <c r="AJ437" s="1822"/>
    </row>
    <row r="438" spans="1:55" ht="12.95"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6">
        <v>0</v>
      </c>
      <c r="AH438" s="1613"/>
      <c r="AI438" s="1613"/>
      <c r="AJ438" s="1613"/>
    </row>
    <row r="439" spans="1:55" ht="12.95"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2">
        <v>96</v>
      </c>
      <c r="AH439" s="1822"/>
      <c r="AI439" s="1822"/>
      <c r="AJ439" s="1822"/>
    </row>
    <row r="440" spans="1:55" ht="12.95"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2">
        <v>96</v>
      </c>
      <c r="AH440" s="1822"/>
      <c r="AI440" s="1822"/>
      <c r="AJ440" s="1822"/>
    </row>
    <row r="441" spans="1:55" ht="12.95"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7">
        <f>IF(ISERROR(AG440/AG439),0,AG440/AG439)</f>
        <v>1</v>
      </c>
      <c r="AH441" s="1807"/>
      <c r="AI441" s="1807"/>
      <c r="AJ441" s="1807"/>
    </row>
    <row r="442" spans="1:55" ht="12.95"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7">
        <v>29255</v>
      </c>
      <c r="AH442" s="1697"/>
      <c r="AI442" s="1697"/>
      <c r="AJ442" s="1697"/>
    </row>
    <row r="443" spans="1:55" ht="12.95"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7">
        <v>29255</v>
      </c>
      <c r="AH443" s="1697"/>
      <c r="AI443" s="1697"/>
      <c r="AJ443" s="1697"/>
    </row>
    <row r="444" spans="1:55" ht="12.95"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7">
        <f>IF(ISERROR(AG443/AG442),0,AG443/AG442)</f>
        <v>1</v>
      </c>
      <c r="AH444" s="1807"/>
      <c r="AI444" s="1807"/>
      <c r="AJ444" s="1807"/>
    </row>
    <row r="445" spans="1:55" ht="12.95"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7">
        <f>MIN(IF(AG441&gt;AG444,AG444,AG441),1)</f>
        <v>1</v>
      </c>
      <c r="AH445" s="1807"/>
      <c r="AI445" s="1807"/>
      <c r="AJ445" s="1807"/>
    </row>
    <row r="446" spans="1:55" ht="12.95" customHeight="1">
      <c r="D446" s="1744"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3"/>
      <c r="AG446" s="1697">
        <v>2941</v>
      </c>
      <c r="AH446" s="1697"/>
      <c r="AI446" s="1697"/>
      <c r="AJ446" s="1697"/>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3"/>
      <c r="AG447" s="1697">
        <v>0</v>
      </c>
      <c r="AH447" s="1697"/>
      <c r="AI447" s="1697"/>
      <c r="AJ447" s="1697"/>
      <c r="AZ447" s="3"/>
      <c r="BA447" s="3"/>
      <c r="BB447" s="3"/>
      <c r="BC447" s="3"/>
    </row>
    <row r="448" spans="1:55" ht="12.95" customHeight="1">
      <c r="D448" s="1744"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3"/>
      <c r="AG448" s="1697">
        <v>15528</v>
      </c>
      <c r="AH448" s="1697"/>
      <c r="AI448" s="1697"/>
      <c r="AJ448" s="1697"/>
      <c r="AZ448" s="3"/>
      <c r="BA448" s="3"/>
      <c r="BB448" s="3"/>
      <c r="BC448" s="3"/>
    </row>
    <row r="449" spans="1:55" ht="12.95" customHeight="1">
      <c r="D449" s="1744"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3"/>
      <c r="AG449" s="1697">
        <v>0</v>
      </c>
      <c r="AH449" s="1697"/>
      <c r="AI449" s="1697"/>
      <c r="AJ449" s="1697"/>
      <c r="BB449" s="3"/>
      <c r="BC449" s="3"/>
    </row>
    <row r="450" spans="1:55" ht="12.95"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6">
        <f>AG442+AG446+AG448+AG449</f>
        <v>47724</v>
      </c>
      <c r="AH450" s="1846"/>
      <c r="AI450" s="1846"/>
      <c r="AJ450" s="1846"/>
      <c r="AZ450" s="3"/>
      <c r="BA450" s="3"/>
      <c r="BB450" s="3"/>
      <c r="BC450" s="3"/>
    </row>
    <row r="451" spans="1:55" ht="12.95"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842292.24742268038</v>
      </c>
      <c r="AD454" s="1813"/>
      <c r="AE454" s="1813"/>
      <c r="AF454" s="181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842292.24742268038</v>
      </c>
      <c r="AD455" s="1813"/>
      <c r="AE455" s="1813"/>
      <c r="AF455" s="181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760165.36082474224</v>
      </c>
      <c r="AD456" s="1813"/>
      <c r="AE456" s="1813"/>
      <c r="AF456" s="1813"/>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7">
        <v>20</v>
      </c>
      <c r="X465" s="1668"/>
      <c r="Y465" s="166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693</v>
      </c>
      <c r="E466" s="1755"/>
      <c r="F466" s="1755"/>
      <c r="G466" s="1755"/>
      <c r="H466" s="1755"/>
      <c r="I466" s="1755"/>
      <c r="J466" s="1755"/>
      <c r="K466" s="1755"/>
      <c r="L466" s="1755"/>
      <c r="M466" s="1755"/>
      <c r="N466" s="1755"/>
      <c r="O466" s="1755"/>
      <c r="P466" s="1755"/>
      <c r="Q466" s="1755"/>
      <c r="R466" s="1755"/>
      <c r="S466" s="1755"/>
      <c r="T466" s="1755"/>
      <c r="U466" s="1755"/>
      <c r="V466" s="1756"/>
      <c r="W466" s="1667">
        <v>0</v>
      </c>
      <c r="X466" s="1668"/>
      <c r="Y466" s="166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694</v>
      </c>
      <c r="E467" s="1755"/>
      <c r="F467" s="1755"/>
      <c r="G467" s="1755"/>
      <c r="H467" s="1755"/>
      <c r="I467" s="1755"/>
      <c r="J467" s="1755"/>
      <c r="K467" s="1755"/>
      <c r="L467" s="1755"/>
      <c r="M467" s="1755"/>
      <c r="N467" s="1755"/>
      <c r="O467" s="1755"/>
      <c r="P467" s="1755"/>
      <c r="Q467" s="1755"/>
      <c r="R467" s="1755"/>
      <c r="S467" s="1755"/>
      <c r="T467" s="1755"/>
      <c r="U467" s="1755"/>
      <c r="V467" s="1756"/>
      <c r="W467" s="1667">
        <v>0</v>
      </c>
      <c r="X467" s="1668"/>
      <c r="Y467" s="166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695</v>
      </c>
      <c r="E468" s="1755"/>
      <c r="F468" s="1755"/>
      <c r="G468" s="1755"/>
      <c r="H468" s="1755"/>
      <c r="I468" s="1755"/>
      <c r="J468" s="1755"/>
      <c r="K468" s="1755"/>
      <c r="L468" s="1755"/>
      <c r="M468" s="1755"/>
      <c r="N468" s="1755"/>
      <c r="O468" s="1755"/>
      <c r="P468" s="1755"/>
      <c r="Q468" s="1755"/>
      <c r="R468" s="1755"/>
      <c r="S468" s="1755"/>
      <c r="T468" s="1755"/>
      <c r="U468" s="1755"/>
      <c r="V468" s="1756"/>
      <c r="W468" s="1667">
        <v>0</v>
      </c>
      <c r="X468" s="1668"/>
      <c r="Y468" s="166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881</v>
      </c>
      <c r="E469" s="1755"/>
      <c r="F469" s="1755"/>
      <c r="G469" s="1755"/>
      <c r="H469" s="1755"/>
      <c r="I469" s="1755"/>
      <c r="J469" s="1755"/>
      <c r="K469" s="1755"/>
      <c r="L469" s="1755"/>
      <c r="M469" s="1755"/>
      <c r="N469" s="1755"/>
      <c r="O469" s="1755"/>
      <c r="P469" s="1755"/>
      <c r="Q469" s="1755"/>
      <c r="R469" s="1755"/>
      <c r="S469" s="1755"/>
      <c r="T469" s="1755"/>
      <c r="U469" s="1755"/>
      <c r="V469" s="1756"/>
      <c r="W469" s="1667">
        <v>0</v>
      </c>
      <c r="X469" s="1668"/>
      <c r="Y469" s="1669"/>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696</v>
      </c>
      <c r="E470" s="1755"/>
      <c r="F470" s="1755"/>
      <c r="G470" s="1755"/>
      <c r="H470" s="1755"/>
      <c r="I470" s="1755"/>
      <c r="J470" s="1755"/>
      <c r="K470" s="1755"/>
      <c r="L470" s="1755"/>
      <c r="M470" s="1755"/>
      <c r="N470" s="1755"/>
      <c r="O470" s="1755"/>
      <c r="P470" s="1755"/>
      <c r="Q470" s="1755"/>
      <c r="R470" s="1755"/>
      <c r="S470" s="1755"/>
      <c r="T470" s="1755"/>
      <c r="U470" s="1755"/>
      <c r="V470" s="1756"/>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1012</v>
      </c>
      <c r="E471" s="1755"/>
      <c r="F471" s="1755"/>
      <c r="G471" s="1755"/>
      <c r="H471" s="1755"/>
      <c r="I471" s="1755"/>
      <c r="J471" s="1755"/>
      <c r="K471" s="1755"/>
      <c r="L471" s="1755"/>
      <c r="M471" s="1755"/>
      <c r="N471" s="1755"/>
      <c r="O471" s="1755"/>
      <c r="P471" s="1755"/>
      <c r="Q471" s="1755"/>
      <c r="R471" s="1755"/>
      <c r="S471" s="1755"/>
      <c r="T471" s="1755"/>
      <c r="U471" s="1755"/>
      <c r="V471" s="1756"/>
      <c r="W471" s="1667">
        <v>0</v>
      </c>
      <c r="X471" s="1668"/>
      <c r="Y471" s="166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2191</v>
      </c>
      <c r="E472" s="1850"/>
      <c r="F472" s="1850"/>
      <c r="G472" s="1850"/>
      <c r="H472" s="1850"/>
      <c r="I472" s="1850"/>
      <c r="J472" s="1850"/>
      <c r="K472" s="1850"/>
      <c r="L472" s="1850"/>
      <c r="M472" s="1850"/>
      <c r="N472" s="1850"/>
      <c r="O472" s="1850"/>
      <c r="P472" s="1850"/>
      <c r="Q472" s="1850"/>
      <c r="R472" s="1850"/>
      <c r="S472" s="1850"/>
      <c r="T472" s="1850"/>
      <c r="U472" s="1850"/>
      <c r="V472" s="1851"/>
      <c r="W472" s="1667">
        <v>0</v>
      </c>
      <c r="X472" s="1668"/>
      <c r="Y472" s="166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1654</v>
      </c>
      <c r="E473" s="1755"/>
      <c r="F473" s="1755"/>
      <c r="G473" s="1755"/>
      <c r="H473" s="1755"/>
      <c r="I473" s="1755"/>
      <c r="J473" s="1755"/>
      <c r="K473" s="1755"/>
      <c r="L473" s="1755"/>
      <c r="M473" s="1755"/>
      <c r="N473" s="1755"/>
      <c r="O473" s="1755"/>
      <c r="P473" s="1755"/>
      <c r="Q473" s="1755"/>
      <c r="R473" s="1755"/>
      <c r="S473" s="1755"/>
      <c r="T473" s="1755"/>
      <c r="U473" s="1755"/>
      <c r="V473" s="1756"/>
      <c r="W473" s="1667">
        <v>48</v>
      </c>
      <c r="X473" s="1668"/>
      <c r="Y473" s="166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9" t="s">
        <v>2694</v>
      </c>
      <c r="H474" s="1700"/>
      <c r="I474" s="1700"/>
      <c r="J474" s="1700"/>
      <c r="K474" s="1700"/>
      <c r="L474" s="1700"/>
      <c r="M474" s="1700"/>
      <c r="N474" s="1700"/>
      <c r="O474" s="1700"/>
      <c r="P474" s="1700"/>
      <c r="Q474" s="1700"/>
      <c r="R474" s="1700"/>
      <c r="S474" s="1700"/>
      <c r="T474" s="1700"/>
      <c r="U474" s="1700"/>
      <c r="V474" s="1701"/>
      <c r="W474" s="1667">
        <v>10</v>
      </c>
      <c r="X474" s="1668"/>
      <c r="Y474" s="166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Yes</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393</v>
      </c>
      <c r="C486" s="5"/>
      <c r="D486" s="5"/>
      <c r="E486" s="5"/>
      <c r="F486" s="5"/>
      <c r="G486" s="5"/>
      <c r="H486" s="5"/>
      <c r="I486" s="5"/>
      <c r="J486" s="5"/>
      <c r="K486" s="5"/>
      <c r="L486" s="5"/>
      <c r="M486" s="5"/>
      <c r="N486" s="5"/>
      <c r="O486" s="5"/>
      <c r="P486" s="5"/>
      <c r="Q486" s="1578" t="s">
        <v>2695</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394</v>
      </c>
      <c r="C487" s="5"/>
      <c r="D487" s="5"/>
      <c r="E487" s="5"/>
      <c r="F487" s="5"/>
      <c r="G487" s="5"/>
      <c r="H487" s="5"/>
      <c r="I487" s="5"/>
      <c r="J487" s="5"/>
      <c r="K487" s="5"/>
      <c r="L487" s="5"/>
      <c r="M487" s="5"/>
      <c r="N487" s="5"/>
      <c r="O487" s="5"/>
      <c r="P487" s="5"/>
      <c r="Q487" s="1578" t="s">
        <v>2696</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395</v>
      </c>
      <c r="C488" s="5"/>
      <c r="D488" s="5"/>
      <c r="E488" s="5"/>
      <c r="F488" s="5"/>
      <c r="G488" s="5"/>
      <c r="H488" s="5"/>
      <c r="I488" s="5"/>
      <c r="J488" s="5"/>
      <c r="K488" s="5"/>
      <c r="L488" s="5"/>
      <c r="M488" s="5"/>
      <c r="N488" s="5"/>
      <c r="O488" s="5"/>
      <c r="P488" s="5"/>
      <c r="Q488" s="1578" t="s">
        <v>2697</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4" t="s">
        <v>396</v>
      </c>
      <c r="C489" s="1835"/>
      <c r="D489" s="1835"/>
      <c r="E489" s="1835"/>
      <c r="F489" s="1835"/>
      <c r="G489" s="1835"/>
      <c r="H489" s="1835"/>
      <c r="I489" s="1835"/>
      <c r="J489" s="1835"/>
      <c r="K489" s="1835"/>
      <c r="L489" s="1835"/>
      <c r="M489" s="1835"/>
      <c r="N489" s="1835"/>
      <c r="O489" s="1835"/>
      <c r="P489" s="1836"/>
      <c r="Q489" s="1840" t="s">
        <v>669</v>
      </c>
      <c r="R489" s="1841"/>
      <c r="S489" s="1771"/>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7"/>
      <c r="C490" s="1838"/>
      <c r="D490" s="1838"/>
      <c r="E490" s="1838"/>
      <c r="F490" s="1838"/>
      <c r="G490" s="1838"/>
      <c r="H490" s="1838"/>
      <c r="I490" s="1838"/>
      <c r="J490" s="1838"/>
      <c r="K490" s="1838"/>
      <c r="L490" s="1838"/>
      <c r="M490" s="1838"/>
      <c r="N490" s="1838"/>
      <c r="O490" s="1838"/>
      <c r="P490" s="1839"/>
      <c r="Q490" s="1842"/>
      <c r="R490" s="1843"/>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7" t="s">
        <v>2698</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8" t="s">
        <v>2699</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8" t="s">
        <v>2700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8" t="s">
        <v>2700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1669</v>
      </c>
      <c r="C495" s="5"/>
      <c r="D495" s="5"/>
      <c r="E495" s="5"/>
      <c r="F495" s="5"/>
      <c r="G495" s="5"/>
      <c r="H495" s="5"/>
      <c r="I495" s="5"/>
      <c r="J495" s="5"/>
      <c r="K495" s="5"/>
      <c r="L495" s="5"/>
      <c r="M495" s="1447">
        <v>0</v>
      </c>
      <c r="N495" s="1448"/>
      <c r="O495" s="1448"/>
      <c r="P495" s="1449"/>
      <c r="Q495" s="121" t="s">
        <v>1670</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4"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4">
        <v>9</v>
      </c>
      <c r="AD501" s="1665"/>
      <c r="AE501" s="1665"/>
      <c r="AF501" s="1665"/>
      <c r="AG501" s="13" t="s">
        <v>402</v>
      </c>
      <c r="AH501" s="1404">
        <v>2020</v>
      </c>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5"/>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4">
        <v>6</v>
      </c>
      <c r="AD502" s="1665"/>
      <c r="AE502" s="1665"/>
      <c r="AF502" s="1665"/>
      <c r="AG502" s="38" t="s">
        <v>402</v>
      </c>
      <c r="AH502" s="1404">
        <v>2025</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4"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4" t="s">
        <v>591</v>
      </c>
      <c r="AD503" s="1665"/>
      <c r="AE503" s="1665"/>
      <c r="AF503" s="1665"/>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5"/>
      <c r="C504" s="1434"/>
      <c r="D504" s="1434"/>
      <c r="E504" s="1434"/>
      <c r="F504" s="1434"/>
      <c r="G504" s="1434"/>
      <c r="H504" s="1435"/>
      <c r="I504" t="s">
        <v>409</v>
      </c>
      <c r="AC504" s="1664" t="s">
        <v>591</v>
      </c>
      <c r="AD504" s="1665"/>
      <c r="AE504" s="1665"/>
      <c r="AF504" s="1665"/>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5"/>
      <c r="C505" s="1434"/>
      <c r="D505" s="1434"/>
      <c r="E505" s="1434"/>
      <c r="F505" s="1434"/>
      <c r="G505" s="1434"/>
      <c r="H505" s="1435"/>
      <c r="I505" t="s">
        <v>410</v>
      </c>
      <c r="AC505" s="1664" t="s">
        <v>591</v>
      </c>
      <c r="AD505" s="1665"/>
      <c r="AE505" s="1665"/>
      <c r="AF505" s="1665"/>
      <c r="AG505" s="13" t="s">
        <v>402</v>
      </c>
      <c r="AH505" s="1404"/>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5"/>
      <c r="C506" s="1434"/>
      <c r="D506" s="1434"/>
      <c r="E506" s="1434"/>
      <c r="F506" s="1434"/>
      <c r="G506" s="1434"/>
      <c r="H506" s="1435"/>
      <c r="I506" t="s">
        <v>411</v>
      </c>
      <c r="AC506" s="1664" t="s">
        <v>591</v>
      </c>
      <c r="AD506" s="1665"/>
      <c r="AE506" s="1665"/>
      <c r="AF506" s="1665"/>
      <c r="AG506" s="13" t="s">
        <v>402</v>
      </c>
      <c r="AH506" s="1404"/>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5"/>
      <c r="C507" s="1434"/>
      <c r="D507" s="1434"/>
      <c r="E507" s="1434"/>
      <c r="F507" s="1434"/>
      <c r="G507" s="1434"/>
      <c r="H507" s="1435"/>
      <c r="I507" s="3" t="s">
        <v>412</v>
      </c>
      <c r="AC507" s="1337">
        <v>2</v>
      </c>
      <c r="AD507" s="1338"/>
      <c r="AE507" s="1338"/>
      <c r="AF507" s="1338"/>
      <c r="AG507" s="13" t="s">
        <v>402</v>
      </c>
      <c r="AH507" s="1404">
        <v>2025</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5"/>
      <c r="C508" s="1434"/>
      <c r="D508" s="1434"/>
      <c r="E508" s="1434"/>
      <c r="F508" s="1434"/>
      <c r="G508" s="1434"/>
      <c r="H508" s="1435"/>
      <c r="I508" s="896" t="s">
        <v>169</v>
      </c>
      <c r="J508" s="48"/>
      <c r="K508" s="48"/>
      <c r="L508" s="1751" t="s">
        <v>333</v>
      </c>
      <c r="M508" s="1752"/>
      <c r="N508" s="1752"/>
      <c r="O508" s="1752"/>
      <c r="P508" s="1752"/>
      <c r="Q508" s="1752"/>
      <c r="R508" s="1752"/>
      <c r="S508" s="1752"/>
      <c r="T508" s="1752"/>
      <c r="U508" s="1752"/>
      <c r="V508" s="1752"/>
      <c r="W508" s="1752"/>
      <c r="X508" s="1752"/>
      <c r="Y508" s="1752"/>
      <c r="Z508" s="1752"/>
      <c r="AA508" s="1752"/>
      <c r="AB508" s="1845"/>
      <c r="AC508" s="1664" t="s">
        <v>591</v>
      </c>
      <c r="AD508" s="1665"/>
      <c r="AE508" s="1665"/>
      <c r="AF508" s="1665"/>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2" t="s">
        <v>545</v>
      </c>
      <c r="AD509" s="1822"/>
      <c r="AE509" s="1822"/>
      <c r="AF509" s="1822"/>
      <c r="AG509" s="13"/>
      <c r="AH509" s="1335"/>
      <c r="AI509" s="1335"/>
      <c r="AJ509" s="1335"/>
      <c r="AK509" s="167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t="s">
        <v>2701</v>
      </c>
      <c r="AD510" s="1338"/>
      <c r="AE510" s="1338"/>
      <c r="AF510" s="1339"/>
      <c r="AG510" s="13"/>
      <c r="AH510" s="1335"/>
      <c r="AI510" s="1335"/>
      <c r="AJ510" s="1335"/>
      <c r="AK510" s="167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1">
        <v>0.95</v>
      </c>
      <c r="AD512" s="1832"/>
      <c r="AE512" s="1832"/>
      <c r="AF512" s="1833"/>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6" t="s">
        <v>401</v>
      </c>
      <c r="AD513" s="1638"/>
      <c r="AE513" s="1638"/>
      <c r="AF513" s="1638"/>
      <c r="AG513" s="38" t="s">
        <v>402</v>
      </c>
      <c r="AH513" s="1638" t="s">
        <v>403</v>
      </c>
      <c r="AI513" s="1638"/>
      <c r="AJ513" s="1638"/>
      <c r="AK513" s="1844"/>
      <c r="AZ513" s="3"/>
      <c r="BA513" s="3"/>
      <c r="BB513" s="3"/>
      <c r="BC513" s="3"/>
      <c r="BD513" s="3"/>
      <c r="BE513" s="3"/>
      <c r="BF513" s="3"/>
      <c r="BG513" s="3"/>
      <c r="BH513" s="3"/>
      <c r="BI513" s="3"/>
      <c r="BJ513" s="3"/>
      <c r="BK513" s="3"/>
      <c r="BL513" s="3"/>
      <c r="BM513" s="3"/>
      <c r="BN513" s="3" t="s">
        <v>2105</v>
      </c>
    </row>
    <row r="514" spans="2:66" ht="12.95" customHeight="1">
      <c r="B514" s="1674"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4">
        <v>1</v>
      </c>
      <c r="AD514" s="1665"/>
      <c r="AE514" s="1665"/>
      <c r="AF514" s="1665"/>
      <c r="AG514" s="13" t="s">
        <v>402</v>
      </c>
      <c r="AH514" s="1404">
        <v>2025</v>
      </c>
      <c r="AI514" s="1404"/>
      <c r="AJ514" s="1404"/>
      <c r="AK514" s="1405"/>
      <c r="AZ514" s="3"/>
      <c r="BA514" s="3"/>
      <c r="BB514" s="3"/>
      <c r="BC514" s="3"/>
      <c r="BD514" s="3"/>
      <c r="BE514" s="3"/>
      <c r="BF514" s="3"/>
      <c r="BG514" s="3"/>
      <c r="BH514" s="3"/>
      <c r="BI514" s="3"/>
      <c r="BJ514" s="3"/>
      <c r="BK514" s="3"/>
      <c r="BL514" s="3"/>
      <c r="BM514" s="3"/>
      <c r="BN514" s="3" t="s">
        <v>2106</v>
      </c>
    </row>
    <row r="515" spans="2:66" ht="12.95" customHeight="1">
      <c r="B515" s="1675"/>
      <c r="C515" s="1434"/>
      <c r="D515" s="1434"/>
      <c r="E515" s="1434"/>
      <c r="F515" s="1434"/>
      <c r="G515" s="1434"/>
      <c r="H515" s="1435"/>
      <c r="I515" t="s">
        <v>415</v>
      </c>
      <c r="AC515" s="1664">
        <v>1</v>
      </c>
      <c r="AD515" s="1665"/>
      <c r="AE515" s="1665"/>
      <c r="AF515" s="1665"/>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2107</v>
      </c>
    </row>
    <row r="516" spans="2:66" ht="12.95" customHeight="1">
      <c r="B516" s="1675"/>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4">
        <v>9</v>
      </c>
      <c r="AD516" s="1665"/>
      <c r="AE516" s="1665"/>
      <c r="AF516" s="1665"/>
      <c r="AG516" s="38" t="s">
        <v>402</v>
      </c>
      <c r="AH516" s="1404">
        <v>2025</v>
      </c>
      <c r="AI516" s="1404"/>
      <c r="AJ516" s="1404"/>
      <c r="AK516" s="1405"/>
      <c r="AZ516" s="3"/>
      <c r="BA516" s="3"/>
      <c r="BB516" s="3"/>
      <c r="BC516" s="3"/>
      <c r="BD516" s="3"/>
      <c r="BE516" s="3"/>
      <c r="BF516" s="3"/>
      <c r="BG516" s="3"/>
      <c r="BH516" s="3"/>
      <c r="BI516" s="3"/>
      <c r="BJ516" s="3"/>
      <c r="BK516" s="3"/>
      <c r="BL516" s="3"/>
      <c r="BM516" s="3"/>
      <c r="BN516" s="3" t="s">
        <v>2108</v>
      </c>
    </row>
    <row r="517" spans="2:66" ht="12.95" customHeight="1">
      <c r="B517" s="1674"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7">
        <v>11</v>
      </c>
      <c r="AD517" s="1338"/>
      <c r="AE517" s="1338"/>
      <c r="AF517" s="1338"/>
      <c r="AG517" s="129" t="s">
        <v>402</v>
      </c>
      <c r="AH517" s="1404">
        <v>2024</v>
      </c>
      <c r="AI517" s="1404"/>
      <c r="AJ517" s="1404"/>
      <c r="AK517" s="1405"/>
      <c r="AZ517" s="3"/>
      <c r="BB517" s="3"/>
      <c r="BC517" s="3"/>
      <c r="BD517" s="3"/>
      <c r="BE517" s="3"/>
      <c r="BF517" s="3"/>
      <c r="BG517" s="3"/>
      <c r="BH517" s="3"/>
      <c r="BI517" s="3"/>
      <c r="BJ517" s="3"/>
      <c r="BK517" s="3"/>
      <c r="BL517" s="3"/>
      <c r="BM517" s="3"/>
      <c r="BN517" s="3" t="s">
        <v>2109</v>
      </c>
    </row>
    <row r="518" spans="2:66" ht="12.95" customHeight="1">
      <c r="B518" s="1675"/>
      <c r="C518" s="1434"/>
      <c r="D518" s="1434"/>
      <c r="E518" s="1434"/>
      <c r="F518" s="1434"/>
      <c r="G518" s="1434"/>
      <c r="H518" s="1435"/>
      <c r="I518" t="s">
        <v>415</v>
      </c>
      <c r="AC518" s="1664">
        <v>1</v>
      </c>
      <c r="AD518" s="1665"/>
      <c r="AE518" s="1665"/>
      <c r="AF518" s="1665"/>
      <c r="AG518" s="13" t="s">
        <v>402</v>
      </c>
      <c r="AH518" s="1404">
        <v>2025</v>
      </c>
      <c r="AI518" s="1404"/>
      <c r="AJ518" s="1404"/>
      <c r="AK518" s="1405"/>
      <c r="BB518" s="3"/>
      <c r="BC518" s="3"/>
      <c r="BD518" s="3"/>
      <c r="BE518" s="3"/>
      <c r="BF518" s="3"/>
      <c r="BG518" s="3"/>
      <c r="BH518" s="3"/>
      <c r="BI518" s="3"/>
      <c r="BJ518" s="3"/>
      <c r="BK518" s="3"/>
      <c r="BL518" s="3"/>
      <c r="BM518" s="3"/>
      <c r="BN518" s="3" t="s">
        <v>2110</v>
      </c>
    </row>
    <row r="519" spans="2:66" ht="12.95" customHeight="1">
      <c r="B519" s="1676"/>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4">
        <v>9</v>
      </c>
      <c r="AD519" s="1665"/>
      <c r="AE519" s="1665"/>
      <c r="AF519" s="1665"/>
      <c r="AG519" s="38" t="s">
        <v>402</v>
      </c>
      <c r="AH519" s="1404">
        <v>2027</v>
      </c>
      <c r="AI519" s="1404"/>
      <c r="AJ519" s="1404"/>
      <c r="AK519" s="1405"/>
      <c r="BB519" s="3"/>
      <c r="BC519" s="3"/>
      <c r="BD519" s="3"/>
      <c r="BE519" s="3"/>
      <c r="BF519" s="3"/>
      <c r="BG519" s="3"/>
      <c r="BH519" s="3"/>
      <c r="BI519" s="3"/>
      <c r="BJ519" s="3"/>
      <c r="BK519" s="3"/>
      <c r="BL519" s="3"/>
      <c r="BM519" s="3"/>
      <c r="BN519" s="3" t="s">
        <v>2111</v>
      </c>
    </row>
    <row r="520" spans="2:66" ht="12.95" customHeight="1">
      <c r="B520" s="1674" t="s">
        <v>418</v>
      </c>
      <c r="C520" s="1432"/>
      <c r="D520" s="1432"/>
      <c r="E520" s="1432"/>
      <c r="F520" s="1432"/>
      <c r="G520" s="1432"/>
      <c r="H520" s="1433"/>
      <c r="I520" s="41" t="s">
        <v>419</v>
      </c>
      <c r="J520" s="42"/>
      <c r="K520" s="42"/>
      <c r="L520" s="42"/>
      <c r="M520" s="42"/>
      <c r="N520" s="42"/>
      <c r="O520" s="1751" t="s">
        <v>2702</v>
      </c>
      <c r="P520" s="1752"/>
      <c r="Q520" s="1752"/>
      <c r="R520" s="1752"/>
      <c r="S520" s="1752"/>
      <c r="T520" s="1752"/>
      <c r="U520" s="1752"/>
      <c r="V520" s="1752"/>
      <c r="W520" s="1752"/>
      <c r="X520" s="1752"/>
      <c r="Y520" s="1752"/>
      <c r="Z520" s="1752"/>
      <c r="AA520" s="1752"/>
      <c r="AB520" s="58"/>
      <c r="AC520" s="1337" t="s">
        <v>591</v>
      </c>
      <c r="AD520" s="1338"/>
      <c r="AE520" s="1338"/>
      <c r="AF520" s="1338"/>
      <c r="AG520" s="129" t="s">
        <v>402</v>
      </c>
      <c r="AH520" s="1404"/>
      <c r="AI520" s="1404"/>
      <c r="AJ520" s="1404"/>
      <c r="AK520" s="1405"/>
      <c r="AZ520" s="3"/>
      <c r="BB520" s="3"/>
      <c r="BC520" s="3"/>
      <c r="BD520" s="3"/>
      <c r="BE520" s="3"/>
      <c r="BF520" s="3"/>
      <c r="BG520" s="3"/>
      <c r="BH520" s="3"/>
      <c r="BI520" s="3"/>
      <c r="BJ520" s="3"/>
      <c r="BK520" s="3"/>
      <c r="BL520" s="3"/>
      <c r="BM520" s="3"/>
      <c r="BN520" s="3" t="s">
        <v>2112</v>
      </c>
    </row>
    <row r="521" spans="2:66" ht="12.95" customHeight="1">
      <c r="B521" s="1675"/>
      <c r="C521" s="1434"/>
      <c r="D521" s="1434"/>
      <c r="E521" s="1434"/>
      <c r="F521" s="1434"/>
      <c r="G521" s="1434"/>
      <c r="H521" s="1435"/>
      <c r="I521" s="114" t="s">
        <v>420</v>
      </c>
      <c r="AB521" s="65"/>
      <c r="AC521" s="1664">
        <v>3</v>
      </c>
      <c r="AD521" s="1665"/>
      <c r="AE521" s="1665"/>
      <c r="AF521" s="1665"/>
      <c r="AG521" s="13" t="s">
        <v>402</v>
      </c>
      <c r="AH521" s="1404">
        <v>2021</v>
      </c>
      <c r="AI521" s="1404"/>
      <c r="AJ521" s="1404"/>
      <c r="AK521" s="1405"/>
      <c r="AZ521" s="3"/>
      <c r="BB521" s="3"/>
      <c r="BC521" s="3"/>
      <c r="BD521" s="3"/>
      <c r="BE521" s="3"/>
      <c r="BF521" s="3"/>
      <c r="BG521" s="3"/>
      <c r="BH521" s="3"/>
      <c r="BI521" s="3"/>
      <c r="BJ521" s="3"/>
      <c r="BK521" s="3"/>
      <c r="BL521" s="3"/>
      <c r="BM521" s="3"/>
      <c r="BN521" s="3" t="s">
        <v>2113</v>
      </c>
    </row>
    <row r="522" spans="2:66" ht="12.95" customHeight="1">
      <c r="B522" s="1675"/>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4">
        <v>3</v>
      </c>
      <c r="AD522" s="1665"/>
      <c r="AE522" s="1665"/>
      <c r="AF522" s="1665"/>
      <c r="AG522" s="38" t="s">
        <v>402</v>
      </c>
      <c r="AH522" s="1404">
        <v>2021</v>
      </c>
      <c r="AI522" s="1404"/>
      <c r="AJ522" s="1404"/>
      <c r="AK522" s="1405"/>
      <c r="AZ522" s="3"/>
      <c r="BA522" s="3"/>
      <c r="BB522" s="3"/>
      <c r="BC522" s="3"/>
      <c r="BD522" s="3"/>
      <c r="BE522" s="3"/>
      <c r="BF522" s="3"/>
      <c r="BG522" s="3"/>
      <c r="BH522" s="3"/>
      <c r="BI522" s="3"/>
      <c r="BJ522" s="3"/>
      <c r="BK522" s="3"/>
      <c r="BL522" s="3"/>
      <c r="BM522" s="3"/>
      <c r="BN522" s="3" t="s">
        <v>2114</v>
      </c>
    </row>
    <row r="523" spans="2:66" ht="12.95" customHeight="1">
      <c r="B523" s="1675"/>
      <c r="C523" s="1434"/>
      <c r="D523" s="1434"/>
      <c r="E523" s="1434"/>
      <c r="F523" s="1434"/>
      <c r="G523" s="1434"/>
      <c r="H523" s="1435"/>
      <c r="I523" s="42" t="s">
        <v>422</v>
      </c>
      <c r="J523" s="42"/>
      <c r="K523" s="42"/>
      <c r="L523" s="42"/>
      <c r="M523" s="42"/>
      <c r="N523" s="42"/>
      <c r="O523" s="1751" t="s">
        <v>2703</v>
      </c>
      <c r="P523" s="1752"/>
      <c r="Q523" s="1752"/>
      <c r="R523" s="1752"/>
      <c r="S523" s="1752"/>
      <c r="T523" s="1752"/>
      <c r="U523" s="1752"/>
      <c r="V523" s="1752"/>
      <c r="W523" s="1752"/>
      <c r="X523" s="1752"/>
      <c r="Y523" s="1752"/>
      <c r="Z523" s="1752"/>
      <c r="AA523" s="1752"/>
      <c r="AC523" s="1664" t="s">
        <v>591</v>
      </c>
      <c r="AD523" s="1665"/>
      <c r="AE523" s="1665"/>
      <c r="AF523" s="1665"/>
      <c r="AG523" s="13" t="s">
        <v>402</v>
      </c>
      <c r="AH523" s="1404"/>
      <c r="AI523" s="1404"/>
      <c r="AJ523" s="1404"/>
      <c r="AK523" s="1405"/>
      <c r="AZ523" s="3"/>
      <c r="BA523" s="3"/>
      <c r="BB523" s="3"/>
      <c r="BC523" s="3"/>
      <c r="BD523" s="3"/>
      <c r="BE523" s="3"/>
      <c r="BF523" s="3"/>
      <c r="BG523" s="3"/>
      <c r="BH523" s="3"/>
      <c r="BI523" s="3"/>
      <c r="BJ523" s="3"/>
      <c r="BK523" s="3"/>
      <c r="BL523" s="3"/>
      <c r="BM523" s="3"/>
      <c r="BN523" s="3" t="s">
        <v>2115</v>
      </c>
    </row>
    <row r="524" spans="2:66" ht="12.95" customHeight="1">
      <c r="B524" s="1675"/>
      <c r="C524" s="1434"/>
      <c r="D524" s="1434"/>
      <c r="E524" s="1434"/>
      <c r="F524" s="1434"/>
      <c r="G524" s="1434"/>
      <c r="H524" s="1435"/>
      <c r="I524" t="s">
        <v>420</v>
      </c>
      <c r="AC524" s="1664">
        <v>1</v>
      </c>
      <c r="AD524" s="1665"/>
      <c r="AE524" s="1665"/>
      <c r="AF524" s="1665"/>
      <c r="AG524" s="13" t="s">
        <v>402</v>
      </c>
      <c r="AH524" s="1404">
        <v>2023</v>
      </c>
      <c r="AI524" s="1404"/>
      <c r="AJ524" s="1404"/>
      <c r="AK524" s="1405"/>
      <c r="AZ524" s="3"/>
      <c r="BA524" s="3"/>
      <c r="BB524" s="3"/>
      <c r="BC524" s="3"/>
      <c r="BD524" s="3"/>
      <c r="BE524" s="3"/>
      <c r="BF524" s="3"/>
      <c r="BG524" s="3"/>
      <c r="BH524" s="3"/>
      <c r="BI524" s="3"/>
      <c r="BJ524" s="3"/>
      <c r="BK524" s="3"/>
      <c r="BL524" s="3"/>
      <c r="BM524" s="3"/>
      <c r="BN524" s="3" t="s">
        <v>2116</v>
      </c>
    </row>
    <row r="525" spans="2:66" ht="12.95" customHeight="1">
      <c r="B525" s="1675"/>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4">
        <v>10</v>
      </c>
      <c r="AD525" s="1665"/>
      <c r="AE525" s="1665"/>
      <c r="AF525" s="1665"/>
      <c r="AG525" s="38" t="s">
        <v>402</v>
      </c>
      <c r="AH525" s="1404">
        <v>2023</v>
      </c>
      <c r="AI525" s="1404"/>
      <c r="AJ525" s="1404"/>
      <c r="AK525" s="1405"/>
      <c r="AZ525" s="3"/>
      <c r="BA525" s="3"/>
      <c r="BB525" s="3"/>
      <c r="BC525" s="3"/>
      <c r="BD525" s="3"/>
      <c r="BE525" s="3"/>
      <c r="BF525" s="3"/>
      <c r="BG525" s="3"/>
      <c r="BH525" s="3"/>
      <c r="BI525" s="3"/>
      <c r="BJ525" s="3"/>
      <c r="BK525" s="3"/>
      <c r="BL525" s="3"/>
      <c r="BM525" s="3"/>
      <c r="BN525" s="3" t="s">
        <v>2117</v>
      </c>
    </row>
    <row r="526" spans="2:66" ht="12.95" customHeight="1">
      <c r="B526" s="1675"/>
      <c r="C526" s="1434"/>
      <c r="D526" s="1434"/>
      <c r="E526" s="1434"/>
      <c r="F526" s="1434"/>
      <c r="G526" s="1434"/>
      <c r="H526" s="1435"/>
      <c r="I526" s="42" t="s">
        <v>422</v>
      </c>
      <c r="J526" s="42"/>
      <c r="K526" s="42"/>
      <c r="L526" s="42"/>
      <c r="M526" s="42"/>
      <c r="N526" s="42"/>
      <c r="O526" s="1751" t="s">
        <v>2613</v>
      </c>
      <c r="P526" s="1752"/>
      <c r="Q526" s="1752"/>
      <c r="R526" s="1752"/>
      <c r="S526" s="1752"/>
      <c r="T526" s="1752"/>
      <c r="U526" s="1752"/>
      <c r="V526" s="1752"/>
      <c r="W526" s="1752"/>
      <c r="X526" s="1752"/>
      <c r="Y526" s="1752"/>
      <c r="Z526" s="1752"/>
      <c r="AA526" s="1752"/>
      <c r="AC526" s="1664" t="s">
        <v>591</v>
      </c>
      <c r="AD526" s="1665"/>
      <c r="AE526" s="1665"/>
      <c r="AF526" s="1665"/>
      <c r="AG526" s="13" t="s">
        <v>402</v>
      </c>
      <c r="AH526" s="1404"/>
      <c r="AI526" s="1404"/>
      <c r="AJ526" s="1404"/>
      <c r="AK526" s="1405"/>
      <c r="AZ526" s="3"/>
      <c r="BA526" s="3"/>
      <c r="BB526" s="3"/>
      <c r="BC526" s="3"/>
      <c r="BD526" s="3"/>
      <c r="BE526" s="3"/>
      <c r="BF526" s="3"/>
      <c r="BG526" s="3"/>
      <c r="BH526" s="3"/>
      <c r="BI526" s="3"/>
      <c r="BJ526" s="3"/>
      <c r="BK526" s="3"/>
      <c r="BL526" s="3"/>
      <c r="BM526" s="3"/>
      <c r="BN526" s="3" t="s">
        <v>2118</v>
      </c>
    </row>
    <row r="527" spans="2:66" ht="12.95" customHeight="1">
      <c r="B527" s="1675"/>
      <c r="C527" s="1434"/>
      <c r="D527" s="1434"/>
      <c r="E527" s="1434"/>
      <c r="F527" s="1434"/>
      <c r="G527" s="1434"/>
      <c r="H527" s="1435"/>
      <c r="I527" t="s">
        <v>420</v>
      </c>
      <c r="AC527" s="1664">
        <v>11</v>
      </c>
      <c r="AD527" s="1665"/>
      <c r="AE527" s="1665"/>
      <c r="AF527" s="1665"/>
      <c r="AG527" s="13" t="s">
        <v>402</v>
      </c>
      <c r="AH527" s="1404">
        <v>2024</v>
      </c>
      <c r="AI527" s="1404"/>
      <c r="AJ527" s="1404"/>
      <c r="AK527" s="1405"/>
      <c r="AZ527" s="3"/>
      <c r="BA527" s="3"/>
      <c r="BB527" s="3"/>
      <c r="BC527" s="3"/>
      <c r="BD527" s="3"/>
      <c r="BE527" s="3"/>
      <c r="BF527" s="3"/>
      <c r="BG527" s="3"/>
      <c r="BH527" s="3"/>
      <c r="BI527" s="3"/>
      <c r="BJ527" s="3"/>
      <c r="BK527" s="3"/>
      <c r="BL527" s="3"/>
      <c r="BM527" s="3"/>
      <c r="BN527" s="3" t="s">
        <v>2119</v>
      </c>
    </row>
    <row r="528" spans="2:66" ht="12.95" customHeight="1">
      <c r="B528" s="1675"/>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4">
        <v>1</v>
      </c>
      <c r="AD528" s="1665"/>
      <c r="AE528" s="1665"/>
      <c r="AF528" s="1665"/>
      <c r="AG528" s="38" t="s">
        <v>402</v>
      </c>
      <c r="AH528" s="1404">
        <v>2025</v>
      </c>
      <c r="AI528" s="1404"/>
      <c r="AJ528" s="1404"/>
      <c r="AK528" s="1405"/>
      <c r="AZ528" s="3"/>
      <c r="BA528" s="3"/>
      <c r="BB528" s="3"/>
      <c r="BC528" s="3"/>
      <c r="BD528" s="3"/>
      <c r="BE528" s="3"/>
      <c r="BF528" s="3"/>
      <c r="BG528" s="3"/>
      <c r="BH528" s="3"/>
      <c r="BI528" s="3"/>
      <c r="BJ528" s="3"/>
      <c r="BK528" s="3"/>
      <c r="BL528" s="3"/>
      <c r="BM528" s="3"/>
      <c r="BN528" s="3" t="s">
        <v>2120</v>
      </c>
    </row>
    <row r="529" spans="1:66" ht="12.95" customHeight="1">
      <c r="B529" s="1675"/>
      <c r="C529" s="1434"/>
      <c r="D529" s="1434"/>
      <c r="E529" s="1434"/>
      <c r="F529" s="1434"/>
      <c r="G529" s="1434"/>
      <c r="H529" s="1435"/>
      <c r="I529" s="42" t="s">
        <v>422</v>
      </c>
      <c r="J529" s="42"/>
      <c r="K529" s="42"/>
      <c r="L529" s="42"/>
      <c r="M529" s="42"/>
      <c r="N529" s="42"/>
      <c r="O529" s="1751" t="s">
        <v>2704</v>
      </c>
      <c r="P529" s="1752"/>
      <c r="Q529" s="1752"/>
      <c r="R529" s="1752"/>
      <c r="S529" s="1752"/>
      <c r="T529" s="1752"/>
      <c r="U529" s="1752"/>
      <c r="V529" s="1752"/>
      <c r="W529" s="1752"/>
      <c r="X529" s="1752"/>
      <c r="Y529" s="1752"/>
      <c r="Z529" s="1752"/>
      <c r="AA529" s="1752"/>
      <c r="AC529" s="1664" t="s">
        <v>591</v>
      </c>
      <c r="AD529" s="1665"/>
      <c r="AE529" s="1665"/>
      <c r="AF529" s="1665"/>
      <c r="AG529" s="13" t="s">
        <v>402</v>
      </c>
      <c r="AH529" s="1404"/>
      <c r="AI529" s="1404"/>
      <c r="AJ529" s="1404"/>
      <c r="AK529" s="1405"/>
      <c r="AZ529" s="3"/>
      <c r="BA529" s="3"/>
      <c r="BB529" s="3"/>
      <c r="BC529" s="3"/>
      <c r="BD529" s="3"/>
      <c r="BE529" s="3"/>
      <c r="BF529" s="3"/>
      <c r="BG529" s="3"/>
      <c r="BH529" s="3"/>
      <c r="BI529" s="3"/>
      <c r="BJ529" s="3"/>
      <c r="BK529" s="3"/>
      <c r="BL529" s="3"/>
      <c r="BM529" s="3"/>
      <c r="BN529" s="3" t="s">
        <v>2121</v>
      </c>
    </row>
    <row r="530" spans="1:66" ht="12.95" customHeight="1">
      <c r="B530" s="1675"/>
      <c r="C530" s="1434"/>
      <c r="D530" s="1434"/>
      <c r="E530" s="1434"/>
      <c r="F530" s="1434"/>
      <c r="G530" s="1434"/>
      <c r="H530" s="1435"/>
      <c r="I530" t="s">
        <v>420</v>
      </c>
      <c r="AC530" s="1664">
        <v>2</v>
      </c>
      <c r="AD530" s="1665"/>
      <c r="AE530" s="1665"/>
      <c r="AF530" s="1665"/>
      <c r="AG530" s="13" t="s">
        <v>402</v>
      </c>
      <c r="AH530" s="1404">
        <v>2025</v>
      </c>
      <c r="AI530" s="1404"/>
      <c r="AJ530" s="1404"/>
      <c r="AK530" s="1405"/>
      <c r="AZ530" s="3"/>
      <c r="BA530" s="3"/>
      <c r="BB530" s="3"/>
      <c r="BC530" s="3"/>
      <c r="BD530" s="3"/>
      <c r="BE530" s="3"/>
      <c r="BF530" s="3"/>
      <c r="BG530" s="3"/>
      <c r="BH530" s="3"/>
      <c r="BI530" s="3"/>
      <c r="BJ530" s="3"/>
      <c r="BK530" s="3"/>
      <c r="BL530" s="3"/>
      <c r="BM530" s="3"/>
      <c r="BN530" s="3" t="s">
        <v>2122</v>
      </c>
    </row>
    <row r="531" spans="1:66" ht="12.95" customHeight="1">
      <c r="B531" s="1675"/>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4">
        <v>8</v>
      </c>
      <c r="AD531" s="1665"/>
      <c r="AE531" s="1665"/>
      <c r="AF531" s="1665"/>
      <c r="AG531" s="38" t="s">
        <v>402</v>
      </c>
      <c r="AH531" s="1404">
        <v>2025</v>
      </c>
      <c r="AI531" s="1404"/>
      <c r="AJ531" s="1404"/>
      <c r="AK531" s="1405"/>
      <c r="AZ531" s="3"/>
      <c r="BA531" s="3"/>
      <c r="BB531" s="3"/>
      <c r="BC531" s="3"/>
      <c r="BD531" s="3"/>
      <c r="BE531" s="3"/>
      <c r="BF531" s="3"/>
      <c r="BG531" s="3"/>
      <c r="BH531" s="3"/>
      <c r="BI531" s="3"/>
      <c r="BJ531" s="3"/>
      <c r="BK531" s="3"/>
      <c r="BL531" s="3"/>
      <c r="BM531" s="3"/>
      <c r="BN531" s="3" t="s">
        <v>2123</v>
      </c>
    </row>
    <row r="532" spans="1:66" ht="12.95" customHeight="1">
      <c r="B532" s="1675"/>
      <c r="C532" s="1434"/>
      <c r="D532" s="1434"/>
      <c r="E532" s="1434"/>
      <c r="F532" s="1434"/>
      <c r="G532" s="1434"/>
      <c r="H532" s="1435"/>
      <c r="I532" s="42" t="s">
        <v>422</v>
      </c>
      <c r="J532" s="42"/>
      <c r="K532" s="42"/>
      <c r="L532" s="42"/>
      <c r="M532" s="42"/>
      <c r="N532" s="42"/>
      <c r="O532" s="1751" t="s">
        <v>2705</v>
      </c>
      <c r="P532" s="1752"/>
      <c r="Q532" s="1752"/>
      <c r="R532" s="1752"/>
      <c r="S532" s="1752"/>
      <c r="T532" s="1752"/>
      <c r="U532" s="1752"/>
      <c r="V532" s="1752"/>
      <c r="W532" s="1752"/>
      <c r="X532" s="1752"/>
      <c r="Y532" s="1752"/>
      <c r="Z532" s="1752"/>
      <c r="AA532" s="1752"/>
      <c r="AC532" s="1664" t="s">
        <v>591</v>
      </c>
      <c r="AD532" s="1665"/>
      <c r="AE532" s="1665"/>
      <c r="AF532" s="1665"/>
      <c r="AG532" s="13" t="s">
        <v>402</v>
      </c>
      <c r="AH532" s="1404"/>
      <c r="AI532" s="1404"/>
      <c r="AJ532" s="1404"/>
      <c r="AK532" s="1405"/>
      <c r="AZ532" s="3"/>
      <c r="BA532" s="3"/>
      <c r="BB532" s="3"/>
      <c r="BC532" s="3"/>
      <c r="BD532" s="3"/>
      <c r="BE532" s="3"/>
      <c r="BF532" s="3"/>
      <c r="BG532" s="3"/>
      <c r="BH532" s="3"/>
      <c r="BI532" s="3"/>
      <c r="BJ532" s="3"/>
      <c r="BK532" s="3"/>
      <c r="BL532" s="3"/>
      <c r="BM532" s="3"/>
      <c r="BN532" s="3" t="s">
        <v>2124</v>
      </c>
    </row>
    <row r="533" spans="1:66" ht="12.95" customHeight="1">
      <c r="B533" s="1675"/>
      <c r="C533" s="1434"/>
      <c r="D533" s="1434"/>
      <c r="E533" s="1434"/>
      <c r="F533" s="1434"/>
      <c r="G533" s="1434"/>
      <c r="H533" s="1435"/>
      <c r="I533" t="s">
        <v>420</v>
      </c>
      <c r="AC533" s="1664">
        <v>11</v>
      </c>
      <c r="AD533" s="1665"/>
      <c r="AE533" s="1665"/>
      <c r="AF533" s="1665"/>
      <c r="AG533" s="38" t="s">
        <v>402</v>
      </c>
      <c r="AH533" s="1404">
        <v>2024</v>
      </c>
      <c r="AI533" s="1404"/>
      <c r="AJ533" s="1404"/>
      <c r="AK533" s="1405"/>
      <c r="AZ533" s="3"/>
      <c r="BA533" s="3"/>
      <c r="BB533" s="3"/>
      <c r="BC533" s="3"/>
      <c r="BD533" s="3"/>
      <c r="BE533" s="3"/>
      <c r="BF533" s="3"/>
      <c r="BG533" s="3"/>
      <c r="BH533" s="3"/>
      <c r="BI533" s="3"/>
      <c r="BJ533" s="3"/>
      <c r="BK533" s="3"/>
      <c r="BL533" s="3"/>
      <c r="BM533" s="3"/>
      <c r="BN533" s="3" t="s">
        <v>2125</v>
      </c>
    </row>
    <row r="534" spans="1:66" ht="12.95" customHeight="1">
      <c r="B534" s="1675"/>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4">
        <v>1</v>
      </c>
      <c r="AD534" s="1665"/>
      <c r="AE534" s="1665"/>
      <c r="AF534" s="1665"/>
      <c r="AG534" s="13" t="s">
        <v>402</v>
      </c>
      <c r="AH534" s="1404">
        <v>2025</v>
      </c>
      <c r="AI534" s="1404"/>
      <c r="AJ534" s="1404"/>
      <c r="AK534" s="1405"/>
      <c r="AZ534" s="3"/>
      <c r="BA534" s="3"/>
      <c r="BB534" s="3"/>
      <c r="BC534" s="3"/>
      <c r="BD534" s="3"/>
      <c r="BE534" s="3"/>
      <c r="BF534" s="3"/>
      <c r="BG534" s="3"/>
      <c r="BH534" s="3"/>
      <c r="BI534" s="3"/>
      <c r="BJ534" s="3"/>
      <c r="BK534" s="3"/>
      <c r="BL534" s="3"/>
      <c r="BM534" s="3"/>
      <c r="BN534" s="3" t="s">
        <v>2126</v>
      </c>
    </row>
    <row r="535" spans="1:66" ht="12.95" customHeight="1">
      <c r="B535" s="1675"/>
      <c r="C535" s="1434"/>
      <c r="D535" s="1434"/>
      <c r="E535" s="1434"/>
      <c r="F535" s="1434"/>
      <c r="G535" s="1434"/>
      <c r="H535" s="1435"/>
      <c r="I535" s="42" t="s">
        <v>422</v>
      </c>
      <c r="J535" s="42"/>
      <c r="K535" s="42"/>
      <c r="L535" s="42"/>
      <c r="M535" s="42"/>
      <c r="N535" s="42"/>
      <c r="O535" s="1751" t="s">
        <v>333</v>
      </c>
      <c r="P535" s="1752"/>
      <c r="Q535" s="1752"/>
      <c r="R535" s="1752"/>
      <c r="S535" s="1752"/>
      <c r="T535" s="1752"/>
      <c r="U535" s="1752"/>
      <c r="V535" s="1752"/>
      <c r="W535" s="1752"/>
      <c r="X535" s="1752"/>
      <c r="Y535" s="1752"/>
      <c r="Z535" s="1752"/>
      <c r="AA535" s="1752"/>
      <c r="AC535" s="1664" t="s">
        <v>591</v>
      </c>
      <c r="AD535" s="1665"/>
      <c r="AE535" s="1665"/>
      <c r="AF535" s="1665"/>
      <c r="AG535" s="38" t="s">
        <v>402</v>
      </c>
      <c r="AH535" s="1404"/>
      <c r="AI535" s="1404"/>
      <c r="AJ535" s="1404"/>
      <c r="AK535" s="1405"/>
      <c r="AZ535" s="3"/>
      <c r="BA535" s="3"/>
      <c r="BB535" s="3"/>
      <c r="BC535" s="3"/>
      <c r="BD535" s="3"/>
      <c r="BE535" s="3"/>
      <c r="BF535" s="3"/>
      <c r="BG535" s="3"/>
      <c r="BH535" s="3"/>
      <c r="BI535" s="3"/>
      <c r="BJ535" s="3"/>
      <c r="BK535" s="3"/>
      <c r="BL535" s="3"/>
      <c r="BM535" s="3"/>
      <c r="BN535" s="3" t="s">
        <v>2127</v>
      </c>
    </row>
    <row r="536" spans="1:66" ht="12.95" customHeight="1">
      <c r="B536" s="1675"/>
      <c r="C536" s="1434"/>
      <c r="D536" s="1434"/>
      <c r="E536" s="1434"/>
      <c r="F536" s="1434"/>
      <c r="G536" s="1434"/>
      <c r="H536" s="1435"/>
      <c r="I536" t="s">
        <v>420</v>
      </c>
      <c r="AC536" s="1664" t="s">
        <v>591</v>
      </c>
      <c r="AD536" s="1665"/>
      <c r="AE536" s="1665"/>
      <c r="AF536" s="1665"/>
      <c r="AG536" s="13" t="s">
        <v>402</v>
      </c>
      <c r="AH536" s="1404"/>
      <c r="AI536" s="1404"/>
      <c r="AJ536" s="1404"/>
      <c r="AK536" s="1405"/>
      <c r="AZ536" s="3"/>
      <c r="BA536" s="3"/>
      <c r="BB536" s="3"/>
      <c r="BC536" s="3"/>
      <c r="BD536" s="3"/>
      <c r="BE536" s="3"/>
      <c r="BF536" s="3"/>
      <c r="BG536" s="3"/>
      <c r="BH536" s="3"/>
      <c r="BI536" s="3"/>
      <c r="BJ536" s="3"/>
      <c r="BK536" s="3"/>
      <c r="BL536" s="3"/>
      <c r="BM536" s="3"/>
      <c r="BN536" s="3" t="s">
        <v>2128</v>
      </c>
    </row>
    <row r="537" spans="1:66" ht="12.95" customHeight="1">
      <c r="B537" s="1675"/>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4" t="s">
        <v>591</v>
      </c>
      <c r="AD537" s="1665"/>
      <c r="AE537" s="1665"/>
      <c r="AF537" s="1665"/>
      <c r="AG537" s="38" t="s">
        <v>402</v>
      </c>
      <c r="AH537" s="1404"/>
      <c r="AI537" s="1404"/>
      <c r="AJ537" s="1404"/>
      <c r="AK537" s="1405"/>
      <c r="AZ537" s="3"/>
      <c r="BA537" s="3"/>
      <c r="BB537" s="3"/>
      <c r="BC537" s="3"/>
      <c r="BD537" s="3"/>
      <c r="BE537" s="3"/>
      <c r="BF537" s="3"/>
      <c r="BG537" s="3"/>
      <c r="BH537" s="3"/>
      <c r="BI537" s="3"/>
      <c r="BJ537" s="3"/>
      <c r="BK537" s="3"/>
      <c r="BL537" s="3"/>
      <c r="BM537" s="3"/>
      <c r="BN537" s="3" t="s">
        <v>2129</v>
      </c>
    </row>
    <row r="538" spans="1:66" ht="12.95" customHeight="1">
      <c r="B538" s="1675"/>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4" t="s">
        <v>591</v>
      </c>
      <c r="AD538" s="1665"/>
      <c r="AE538" s="1665"/>
      <c r="AF538" s="1665"/>
      <c r="AG538" s="38" t="s">
        <v>402</v>
      </c>
      <c r="AH538" s="1404"/>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5"/>
      <c r="C539" s="1434"/>
      <c r="D539" s="1434"/>
      <c r="E539" s="1434"/>
      <c r="F539" s="1434"/>
      <c r="G539" s="1434"/>
      <c r="H539" s="1435"/>
      <c r="I539" t="s">
        <v>563</v>
      </c>
      <c r="AC539" s="1664">
        <v>9</v>
      </c>
      <c r="AD539" s="1665"/>
      <c r="AE539" s="1665"/>
      <c r="AF539" s="1665"/>
      <c r="AG539" s="13" t="s">
        <v>402</v>
      </c>
      <c r="AH539" s="1404">
        <v>2025</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5"/>
      <c r="C540" s="1434"/>
      <c r="D540" s="1434"/>
      <c r="E540" s="1434"/>
      <c r="F540" s="1434"/>
      <c r="G540" s="1434"/>
      <c r="H540" s="1435"/>
      <c r="I540" t="s">
        <v>564</v>
      </c>
      <c r="AC540" s="1664">
        <v>3</v>
      </c>
      <c r="AD540" s="1665"/>
      <c r="AE540" s="1665"/>
      <c r="AF540" s="1665"/>
      <c r="AG540" s="38" t="s">
        <v>402</v>
      </c>
      <c r="AH540" s="1404">
        <v>2027</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5"/>
      <c r="C541" s="1434"/>
      <c r="D541" s="1434"/>
      <c r="E541" s="1434"/>
      <c r="F541" s="1434"/>
      <c r="G541" s="1434"/>
      <c r="H541" s="1435"/>
      <c r="I541" t="s">
        <v>565</v>
      </c>
      <c r="AC541" s="1664">
        <v>3</v>
      </c>
      <c r="AD541" s="1665"/>
      <c r="AE541" s="1665"/>
      <c r="AF541" s="1665"/>
      <c r="AG541" s="38" t="s">
        <v>402</v>
      </c>
      <c r="AH541" s="1404">
        <v>2028</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6"/>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4">
        <v>7</v>
      </c>
      <c r="AD542" s="1665"/>
      <c r="AE542" s="1665"/>
      <c r="AF542" s="1665"/>
      <c r="AG542" s="38" t="s">
        <v>402</v>
      </c>
      <c r="AH542" s="1404">
        <v>2027</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4" t="s">
        <v>2103</v>
      </c>
      <c r="C551" s="1432"/>
      <c r="D551" s="1432"/>
      <c r="E551" s="1432"/>
      <c r="F551" s="1432"/>
      <c r="G551" s="1432"/>
      <c r="H551" s="1432"/>
      <c r="I551" s="1432"/>
      <c r="J551" s="1432"/>
      <c r="K551" s="1432"/>
      <c r="L551" s="1433"/>
      <c r="M551" s="1674" t="s">
        <v>2104</v>
      </c>
      <c r="N551" s="1432"/>
      <c r="O551" s="1432"/>
      <c r="P551" s="1433"/>
      <c r="Q551" s="1674" t="s">
        <v>2130</v>
      </c>
      <c r="R551" s="1432"/>
      <c r="S551" s="1433"/>
      <c r="T551" s="1674" t="s">
        <v>2131</v>
      </c>
      <c r="U551" s="1432"/>
      <c r="V551" s="1433"/>
      <c r="W551" s="1674" t="s">
        <v>453</v>
      </c>
      <c r="X551" s="1432"/>
      <c r="Y551" s="1433"/>
      <c r="Z551" s="1674" t="s">
        <v>1852</v>
      </c>
      <c r="AA551" s="1432"/>
      <c r="AB551" s="1432"/>
      <c r="AC551" s="1432"/>
      <c r="AD551" s="1433"/>
      <c r="AE551" s="1674" t="s">
        <v>1676</v>
      </c>
      <c r="AF551" s="1432"/>
      <c r="AG551" s="1432"/>
      <c r="AH551" s="1433"/>
      <c r="AI551" s="1674" t="s">
        <v>1677</v>
      </c>
      <c r="AJ551" s="1432"/>
      <c r="AK551" s="1432"/>
      <c r="AL551" s="1433"/>
      <c r="AM551" s="1674" t="s">
        <v>454</v>
      </c>
      <c r="AN551" s="1432"/>
      <c r="AO551" s="1432"/>
      <c r="AP551" s="1432"/>
      <c r="AQ551" s="1432"/>
      <c r="AR551" s="1432"/>
      <c r="AS551" s="1433"/>
      <c r="BB551" s="3"/>
      <c r="BC551" s="3"/>
      <c r="BD551" s="3"/>
      <c r="BE551" s="3"/>
      <c r="BF551" s="3"/>
      <c r="BG551" s="3"/>
      <c r="BH551" s="3" t="s">
        <v>581</v>
      </c>
      <c r="BI551" s="3" t="str">
        <f>AG657</f>
        <v>No</v>
      </c>
    </row>
    <row r="552" spans="1:61" ht="12.95" customHeight="1">
      <c r="B552" s="1675"/>
      <c r="C552" s="1434"/>
      <c r="D552" s="1434"/>
      <c r="E552" s="1434"/>
      <c r="F552" s="1434"/>
      <c r="G552" s="1434"/>
      <c r="H552" s="1434"/>
      <c r="I552" s="1434"/>
      <c r="J552" s="1434"/>
      <c r="K552" s="1434"/>
      <c r="L552" s="1435"/>
      <c r="M552" s="1675"/>
      <c r="N552" s="1434"/>
      <c r="O552" s="1434"/>
      <c r="P552" s="1435"/>
      <c r="Q552" s="1675"/>
      <c r="R552" s="1434"/>
      <c r="S552" s="1435"/>
      <c r="T552" s="1675"/>
      <c r="U552" s="1434"/>
      <c r="V552" s="1435"/>
      <c r="W552" s="1675"/>
      <c r="X552" s="1434"/>
      <c r="Y552" s="1435"/>
      <c r="Z552" s="1675"/>
      <c r="AA552" s="1434"/>
      <c r="AB552" s="1434"/>
      <c r="AC552" s="1434"/>
      <c r="AD552" s="1435"/>
      <c r="AE552" s="1675"/>
      <c r="AF552" s="1434"/>
      <c r="AG552" s="1434"/>
      <c r="AH552" s="1435"/>
      <c r="AI552" s="1675"/>
      <c r="AJ552" s="1434"/>
      <c r="AK552" s="1434"/>
      <c r="AL552" s="1435"/>
      <c r="AM552" s="1675"/>
      <c r="AN552" s="1434"/>
      <c r="AO552" s="1434"/>
      <c r="AP552" s="1434"/>
      <c r="AQ552" s="1434"/>
      <c r="AR552" s="1434"/>
      <c r="AS552" s="1435"/>
      <c r="AU552" s="1147"/>
      <c r="BB552" s="3"/>
      <c r="BC552" s="3"/>
      <c r="BD552" s="3"/>
      <c r="BE552" s="3"/>
      <c r="BF552" s="3"/>
      <c r="BG552" s="3"/>
      <c r="BH552" s="3"/>
      <c r="BI552" s="3"/>
    </row>
    <row r="553" spans="1:61" ht="12.95" customHeight="1">
      <c r="B553" s="1676"/>
      <c r="C553" s="1436"/>
      <c r="D553" s="1436"/>
      <c r="E553" s="1436"/>
      <c r="F553" s="1436"/>
      <c r="G553" s="1436"/>
      <c r="H553" s="1436"/>
      <c r="I553" s="1436"/>
      <c r="J553" s="1436"/>
      <c r="K553" s="1436"/>
      <c r="L553" s="1437"/>
      <c r="M553" s="1676"/>
      <c r="N553" s="1436"/>
      <c r="O553" s="1436"/>
      <c r="P553" s="1437"/>
      <c r="Q553" s="1676"/>
      <c r="R553" s="1436"/>
      <c r="S553" s="1437"/>
      <c r="T553" s="1676"/>
      <c r="U553" s="1436"/>
      <c r="V553" s="1437"/>
      <c r="W553" s="1676"/>
      <c r="X553" s="1436"/>
      <c r="Y553" s="1437"/>
      <c r="Z553" s="1676"/>
      <c r="AA553" s="1436"/>
      <c r="AB553" s="1436"/>
      <c r="AC553" s="1436"/>
      <c r="AD553" s="1437"/>
      <c r="AE553" s="1676"/>
      <c r="AF553" s="1436"/>
      <c r="AG553" s="1436"/>
      <c r="AH553" s="1437"/>
      <c r="AI553" s="1676"/>
      <c r="AJ553" s="1436"/>
      <c r="AK553" s="1436"/>
      <c r="AL553" s="1437"/>
      <c r="AM553" s="1676"/>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5" t="s">
        <v>2706</v>
      </c>
      <c r="D554" s="1695"/>
      <c r="E554" s="1695"/>
      <c r="F554" s="1695"/>
      <c r="G554" s="1695"/>
      <c r="H554" s="1695"/>
      <c r="I554" s="1695"/>
      <c r="J554" s="1695"/>
      <c r="K554" s="1695"/>
      <c r="L554" s="1695"/>
      <c r="M554" s="1695" t="s">
        <v>2120</v>
      </c>
      <c r="N554" s="1695"/>
      <c r="O554" s="1695"/>
      <c r="P554" s="1695"/>
      <c r="Q554" s="1454">
        <v>31</v>
      </c>
      <c r="R554" s="1454"/>
      <c r="S554" s="1455"/>
      <c r="T554" s="1453"/>
      <c r="U554" s="1454"/>
      <c r="V554" s="1455"/>
      <c r="W554" s="1456">
        <v>6.6000000000000003E-2</v>
      </c>
      <c r="X554" s="1457"/>
      <c r="Y554" s="1458"/>
      <c r="Z554" s="1696" t="s">
        <v>2707</v>
      </c>
      <c r="AA554" s="1696"/>
      <c r="AB554" s="1696"/>
      <c r="AC554" s="1696"/>
      <c r="AD554" s="1696"/>
      <c r="AE554" s="1677">
        <v>1</v>
      </c>
      <c r="AF554" s="1678"/>
      <c r="AG554" s="1678"/>
      <c r="AH554" s="1679"/>
      <c r="AI554" s="1680"/>
      <c r="AJ554" s="1681"/>
      <c r="AK554" s="1681"/>
      <c r="AL554" s="1682"/>
      <c r="AM554" s="1670">
        <v>40153350.5</v>
      </c>
      <c r="AN554" s="1671"/>
      <c r="AO554" s="1671"/>
      <c r="AP554" s="1671"/>
      <c r="AQ554" s="1671"/>
      <c r="AR554" s="1671"/>
      <c r="AS554" s="1672"/>
      <c r="AT554" s="1148"/>
      <c r="AU554" s="1147"/>
      <c r="BB554" s="3"/>
      <c r="BC554" s="3"/>
      <c r="BD554" s="3"/>
      <c r="BE554" s="3"/>
      <c r="BF554" s="3"/>
      <c r="BG554" s="3"/>
      <c r="BH554" s="3"/>
      <c r="BI554" s="3"/>
    </row>
    <row r="555" spans="1:61" ht="12.95" customHeight="1">
      <c r="B555" s="52" t="s">
        <v>113</v>
      </c>
      <c r="C555" s="1683" t="s">
        <v>2736</v>
      </c>
      <c r="D555" s="1683"/>
      <c r="E555" s="1683"/>
      <c r="F555" s="1683"/>
      <c r="G555" s="1683"/>
      <c r="H555" s="1683"/>
      <c r="I555" s="1683"/>
      <c r="J555" s="1683"/>
      <c r="K555" s="1683"/>
      <c r="L555" s="1683"/>
      <c r="M555" s="1695" t="s">
        <v>2118</v>
      </c>
      <c r="N555" s="1695"/>
      <c r="O555" s="1695"/>
      <c r="P555" s="1695"/>
      <c r="Q555" s="1453">
        <v>31</v>
      </c>
      <c r="R555" s="1454"/>
      <c r="S555" s="1455"/>
      <c r="T555" s="1453"/>
      <c r="U555" s="1454"/>
      <c r="V555" s="1455"/>
      <c r="W555" s="1456">
        <v>6.8500000000000005E-2</v>
      </c>
      <c r="X555" s="1457"/>
      <c r="Y555" s="1458"/>
      <c r="Z555" s="1696" t="s">
        <v>2707</v>
      </c>
      <c r="AA555" s="1696"/>
      <c r="AB555" s="1696"/>
      <c r="AC555" s="1696"/>
      <c r="AD555" s="1696"/>
      <c r="AE555" s="1677">
        <v>1</v>
      </c>
      <c r="AF555" s="1678"/>
      <c r="AG555" s="1678"/>
      <c r="AH555" s="1679"/>
      <c r="AI555" s="1680"/>
      <c r="AJ555" s="1681"/>
      <c r="AK555" s="1681"/>
      <c r="AL555" s="1682"/>
      <c r="AM555" s="1670">
        <v>1137236</v>
      </c>
      <c r="AN555" s="1671"/>
      <c r="AO555" s="1671"/>
      <c r="AP555" s="1671"/>
      <c r="AQ555" s="1671"/>
      <c r="AR555" s="1671"/>
      <c r="AS555" s="1672"/>
      <c r="AT555" s="1148" t="str">
        <f>IF(AND(NOT(C554=""),C555="",NOT(C556="")),"!","")</f>
        <v/>
      </c>
      <c r="AU555" s="1147"/>
      <c r="BB555" s="3"/>
      <c r="BC555" s="3"/>
      <c r="BD555" s="3"/>
      <c r="BE555" s="3"/>
      <c r="BF555" s="3"/>
      <c r="BG555" s="3"/>
      <c r="BH555" s="3"/>
      <c r="BI555" s="3"/>
    </row>
    <row r="556" spans="1:61" ht="12.95" customHeight="1">
      <c r="B556" s="52" t="s">
        <v>119</v>
      </c>
      <c r="C556" s="1683" t="s">
        <v>2743</v>
      </c>
      <c r="D556" s="1683"/>
      <c r="E556" s="1683"/>
      <c r="F556" s="1683"/>
      <c r="G556" s="1683"/>
      <c r="H556" s="1683"/>
      <c r="I556" s="1683"/>
      <c r="J556" s="1683"/>
      <c r="K556" s="1683"/>
      <c r="L556" s="1683"/>
      <c r="M556" s="1695" t="s">
        <v>2118</v>
      </c>
      <c r="N556" s="1695"/>
      <c r="O556" s="1695"/>
      <c r="P556" s="1695"/>
      <c r="Q556" s="1453">
        <v>31</v>
      </c>
      <c r="R556" s="1454"/>
      <c r="S556" s="1455"/>
      <c r="T556" s="1453"/>
      <c r="U556" s="1454"/>
      <c r="V556" s="1455"/>
      <c r="W556" s="1456">
        <v>0.03</v>
      </c>
      <c r="X556" s="1457"/>
      <c r="Y556" s="1458"/>
      <c r="Z556" s="1696" t="s">
        <v>2708</v>
      </c>
      <c r="AA556" s="1696"/>
      <c r="AB556" s="1696"/>
      <c r="AC556" s="1696"/>
      <c r="AD556" s="1696"/>
      <c r="AE556" s="1677">
        <v>3</v>
      </c>
      <c r="AF556" s="1678"/>
      <c r="AG556" s="1678"/>
      <c r="AH556" s="1679"/>
      <c r="AI556" s="1680"/>
      <c r="AJ556" s="1681"/>
      <c r="AK556" s="1681"/>
      <c r="AL556" s="1682"/>
      <c r="AM556" s="1670">
        <f>AO629</f>
        <v>8200000</v>
      </c>
      <c r="AN556" s="1671"/>
      <c r="AO556" s="1671"/>
      <c r="AP556" s="1671"/>
      <c r="AQ556" s="1671"/>
      <c r="AR556" s="1671"/>
      <c r="AS556" s="1672"/>
      <c r="AT556" s="1148" t="str">
        <f>IF(AND(NOT(C555=""),C556="",NOT(C557="")),"!","")</f>
        <v/>
      </c>
      <c r="AU556" s="1147"/>
      <c r="BB556" s="3"/>
      <c r="BC556" s="3"/>
      <c r="BD556" s="3"/>
      <c r="BE556" s="3"/>
      <c r="BF556" s="3"/>
      <c r="BG556" s="3"/>
      <c r="BH556" s="3"/>
      <c r="BI556" s="3"/>
    </row>
    <row r="557" spans="1:61" ht="12.95" customHeight="1">
      <c r="B557" s="52" t="s">
        <v>581</v>
      </c>
      <c r="C557" s="1683" t="s">
        <v>2709</v>
      </c>
      <c r="D557" s="1683"/>
      <c r="E557" s="1683"/>
      <c r="F557" s="1683"/>
      <c r="G557" s="1683"/>
      <c r="H557" s="1683"/>
      <c r="I557" s="1683"/>
      <c r="J557" s="1683"/>
      <c r="K557" s="1683"/>
      <c r="L557" s="1683"/>
      <c r="M557" s="1695" t="s">
        <v>2116</v>
      </c>
      <c r="N557" s="1695"/>
      <c r="O557" s="1695"/>
      <c r="P557" s="1695"/>
      <c r="Q557" s="1453">
        <v>31</v>
      </c>
      <c r="R557" s="1454"/>
      <c r="S557" s="1455"/>
      <c r="T557" s="1453"/>
      <c r="U557" s="1454"/>
      <c r="V557" s="1455"/>
      <c r="W557" s="1456">
        <v>0.03</v>
      </c>
      <c r="X557" s="1457"/>
      <c r="Y557" s="1458"/>
      <c r="Z557" s="1696" t="s">
        <v>2708</v>
      </c>
      <c r="AA557" s="1696"/>
      <c r="AB557" s="1696"/>
      <c r="AC557" s="1696"/>
      <c r="AD557" s="1696"/>
      <c r="AE557" s="1677">
        <v>2</v>
      </c>
      <c r="AF557" s="1678"/>
      <c r="AG557" s="1678"/>
      <c r="AH557" s="1679"/>
      <c r="AI557" s="1680"/>
      <c r="AJ557" s="1681"/>
      <c r="AK557" s="1681"/>
      <c r="AL557" s="1682"/>
      <c r="AM557" s="1670">
        <v>18000000</v>
      </c>
      <c r="AN557" s="1671"/>
      <c r="AO557" s="1671"/>
      <c r="AP557" s="1671"/>
      <c r="AQ557" s="1671"/>
      <c r="AR557" s="1671"/>
      <c r="AS557" s="1672"/>
      <c r="AT557" s="1148" t="str">
        <f>IF(AND(NOT(C556=""),C557="",NOT(C558="")),"!","")</f>
        <v/>
      </c>
      <c r="AU557" s="1147"/>
      <c r="BB557" s="3"/>
      <c r="BC557" s="3"/>
      <c r="BD557" s="3"/>
      <c r="BE557" s="3"/>
      <c r="BF557" s="3"/>
      <c r="BG557" s="3"/>
      <c r="BH557" s="3"/>
      <c r="BI557" s="3"/>
    </row>
    <row r="558" spans="1:61" ht="12.95" customHeight="1">
      <c r="B558" s="52" t="s">
        <v>763</v>
      </c>
      <c r="C558" s="1683" t="s">
        <v>2322</v>
      </c>
      <c r="D558" s="1683"/>
      <c r="E558" s="1683"/>
      <c r="F558" s="1683"/>
      <c r="G558" s="1683"/>
      <c r="H558" s="1683"/>
      <c r="I558" s="1683"/>
      <c r="J558" s="1683"/>
      <c r="K558" s="1683"/>
      <c r="L558" s="1683"/>
      <c r="M558" s="1695" t="s">
        <v>2107</v>
      </c>
      <c r="N558" s="1695"/>
      <c r="O558" s="1695"/>
      <c r="P558" s="1695"/>
      <c r="Q558" s="1453"/>
      <c r="R558" s="1454"/>
      <c r="S558" s="1455"/>
      <c r="T558" s="1453"/>
      <c r="U558" s="1454"/>
      <c r="V558" s="1455"/>
      <c r="W558" s="1456"/>
      <c r="X558" s="1457"/>
      <c r="Y558" s="1458"/>
      <c r="Z558" s="1696" t="s">
        <v>1184</v>
      </c>
      <c r="AA558" s="1696"/>
      <c r="AB558" s="1696"/>
      <c r="AC558" s="1696"/>
      <c r="AD558" s="1696"/>
      <c r="AE558" s="1677"/>
      <c r="AF558" s="1678"/>
      <c r="AG558" s="1678"/>
      <c r="AH558" s="1679"/>
      <c r="AI558" s="1680"/>
      <c r="AJ558" s="1681"/>
      <c r="AK558" s="1681"/>
      <c r="AL558" s="1682"/>
      <c r="AM558" s="1670">
        <v>3500000</v>
      </c>
      <c r="AN558" s="1671"/>
      <c r="AO558" s="1671"/>
      <c r="AP558" s="1671"/>
      <c r="AQ558" s="1671"/>
      <c r="AR558" s="1671"/>
      <c r="AS558" s="1672"/>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3" t="s">
        <v>2710</v>
      </c>
      <c r="D559" s="1683"/>
      <c r="E559" s="1683"/>
      <c r="F559" s="1683"/>
      <c r="G559" s="1683"/>
      <c r="H559" s="1683"/>
      <c r="I559" s="1683"/>
      <c r="J559" s="1683"/>
      <c r="K559" s="1683"/>
      <c r="L559" s="1683"/>
      <c r="M559" s="1695" t="s">
        <v>2106</v>
      </c>
      <c r="N559" s="1695"/>
      <c r="O559" s="1695"/>
      <c r="P559" s="1695"/>
      <c r="Q559" s="1453"/>
      <c r="R559" s="1454"/>
      <c r="S559" s="1455"/>
      <c r="T559" s="1453"/>
      <c r="U559" s="1454"/>
      <c r="V559" s="1455"/>
      <c r="W559" s="1456"/>
      <c r="X559" s="1457"/>
      <c r="Y559" s="1458"/>
      <c r="Z559" s="1696" t="s">
        <v>1184</v>
      </c>
      <c r="AA559" s="1696"/>
      <c r="AB559" s="1696"/>
      <c r="AC559" s="1696"/>
      <c r="AD559" s="1696"/>
      <c r="AE559" s="1677"/>
      <c r="AF559" s="1678"/>
      <c r="AG559" s="1678"/>
      <c r="AH559" s="1679"/>
      <c r="AI559" s="1680"/>
      <c r="AJ559" s="1681"/>
      <c r="AK559" s="1681"/>
      <c r="AL559" s="1682"/>
      <c r="AM559" s="1670">
        <v>5528777</v>
      </c>
      <c r="AN559" s="1671"/>
      <c r="AO559" s="1671"/>
      <c r="AP559" s="1671"/>
      <c r="AQ559" s="1671"/>
      <c r="AR559" s="1671"/>
      <c r="AS559" s="1672"/>
      <c r="AT559" s="1148" t="str">
        <f t="shared" si="0"/>
        <v/>
      </c>
      <c r="AU559" s="1147"/>
      <c r="BB559" s="3"/>
      <c r="BC559" s="3"/>
      <c r="BD559" s="3"/>
      <c r="BE559" s="3"/>
      <c r="BF559" s="3"/>
      <c r="BG559" s="3"/>
      <c r="BH559" s="3" t="s">
        <v>584</v>
      </c>
      <c r="BI559" s="3" t="str">
        <f>AG665</f>
        <v>Yes</v>
      </c>
    </row>
    <row r="560" spans="1:61" ht="12.95" customHeight="1">
      <c r="B560" s="52" t="s">
        <v>455</v>
      </c>
      <c r="C560" s="1683" t="s">
        <v>2711</v>
      </c>
      <c r="D560" s="1683"/>
      <c r="E560" s="1683"/>
      <c r="F560" s="1683"/>
      <c r="G560" s="1683"/>
      <c r="H560" s="1683"/>
      <c r="I560" s="1683"/>
      <c r="J560" s="1683"/>
      <c r="K560" s="1683"/>
      <c r="L560" s="1683"/>
      <c r="M560" s="1695" t="s">
        <v>2111</v>
      </c>
      <c r="N560" s="1695"/>
      <c r="O560" s="1695"/>
      <c r="P560" s="1695"/>
      <c r="Q560" s="1453"/>
      <c r="R560" s="1454"/>
      <c r="S560" s="1455"/>
      <c r="T560" s="1453"/>
      <c r="U560" s="1454"/>
      <c r="V560" s="1455"/>
      <c r="W560" s="1456"/>
      <c r="X560" s="1457"/>
      <c r="Y560" s="1458"/>
      <c r="Z560" s="1696" t="s">
        <v>1184</v>
      </c>
      <c r="AA560" s="1696"/>
      <c r="AB560" s="1696"/>
      <c r="AC560" s="1696"/>
      <c r="AD560" s="1696"/>
      <c r="AE560" s="1677"/>
      <c r="AF560" s="1678"/>
      <c r="AG560" s="1678"/>
      <c r="AH560" s="1679"/>
      <c r="AI560" s="1680"/>
      <c r="AJ560" s="1681"/>
      <c r="AK560" s="1681"/>
      <c r="AL560" s="1682"/>
      <c r="AM560" s="1670">
        <f>3335484.5-152500</f>
        <v>3182984.5</v>
      </c>
      <c r="AN560" s="1671"/>
      <c r="AO560" s="1671"/>
      <c r="AP560" s="1671"/>
      <c r="AQ560" s="1671"/>
      <c r="AR560" s="1671"/>
      <c r="AS560" s="1672"/>
      <c r="AT560" s="1148" t="str">
        <f t="shared" si="0"/>
        <v/>
      </c>
      <c r="AU560" s="1147"/>
      <c r="BB560" s="3"/>
      <c r="BC560" s="3"/>
      <c r="BD560" s="3"/>
      <c r="BE560" s="3"/>
      <c r="BF560" s="3"/>
      <c r="BG560" s="3"/>
      <c r="BH560" s="3"/>
      <c r="BI560" s="3"/>
    </row>
    <row r="561" spans="1:61" ht="12.95" customHeight="1">
      <c r="B561" s="52" t="s">
        <v>456</v>
      </c>
      <c r="C561" s="1683" t="s">
        <v>2747</v>
      </c>
      <c r="D561" s="1683"/>
      <c r="E561" s="1683"/>
      <c r="F561" s="1683"/>
      <c r="G561" s="1683"/>
      <c r="H561" s="1683"/>
      <c r="I561" s="1683"/>
      <c r="J561" s="1683"/>
      <c r="K561" s="1683"/>
      <c r="L561" s="1683"/>
      <c r="M561" s="1695" t="s">
        <v>2127</v>
      </c>
      <c r="N561" s="1695"/>
      <c r="O561" s="1695"/>
      <c r="P561" s="1695"/>
      <c r="Q561" s="1453"/>
      <c r="R561" s="1454"/>
      <c r="S561" s="1455"/>
      <c r="T561" s="1453"/>
      <c r="U561" s="1454"/>
      <c r="V561" s="1455"/>
      <c r="W561" s="1456"/>
      <c r="X561" s="1457"/>
      <c r="Y561" s="1458"/>
      <c r="Z561" s="1696" t="s">
        <v>1184</v>
      </c>
      <c r="AA561" s="1696"/>
      <c r="AB561" s="1696"/>
      <c r="AC561" s="1696"/>
      <c r="AD561" s="1696"/>
      <c r="AE561" s="1677"/>
      <c r="AF561" s="1678"/>
      <c r="AG561" s="1678"/>
      <c r="AH561" s="1679"/>
      <c r="AI561" s="1680"/>
      <c r="AJ561" s="1681"/>
      <c r="AK561" s="1681"/>
      <c r="AL561" s="1682"/>
      <c r="AM561" s="1670">
        <v>2000000</v>
      </c>
      <c r="AN561" s="1671"/>
      <c r="AO561" s="1671"/>
      <c r="AP561" s="1671"/>
      <c r="AQ561" s="1671"/>
      <c r="AR561" s="1671"/>
      <c r="AS561" s="1672"/>
      <c r="AT561" s="1148" t="str">
        <f t="shared" si="0"/>
        <v/>
      </c>
      <c r="AU561" s="1147"/>
      <c r="BB561" s="3"/>
      <c r="BC561" s="3"/>
      <c r="BD561" s="3"/>
      <c r="BE561" s="3"/>
      <c r="BF561" s="3"/>
      <c r="BG561" s="3"/>
      <c r="BH561" s="3"/>
      <c r="BI561" s="3"/>
    </row>
    <row r="562" spans="1:61" ht="12.95" customHeight="1">
      <c r="B562" s="52" t="s">
        <v>461</v>
      </c>
      <c r="C562" s="1683"/>
      <c r="D562" s="1683"/>
      <c r="E562" s="1683"/>
      <c r="F562" s="1683"/>
      <c r="G562" s="1683"/>
      <c r="H562" s="1683"/>
      <c r="I562" s="1683"/>
      <c r="J562" s="1683"/>
      <c r="K562" s="1683"/>
      <c r="L562" s="1683"/>
      <c r="M562" s="1695" t="s">
        <v>1184</v>
      </c>
      <c r="N562" s="1695"/>
      <c r="O562" s="1695"/>
      <c r="P562" s="1695"/>
      <c r="Q562" s="1453"/>
      <c r="R562" s="1454"/>
      <c r="S562" s="1455"/>
      <c r="T562" s="1453"/>
      <c r="U562" s="1454"/>
      <c r="V562" s="1455"/>
      <c r="W562" s="1456"/>
      <c r="X562" s="1457"/>
      <c r="Y562" s="1458"/>
      <c r="Z562" s="1696" t="s">
        <v>1184</v>
      </c>
      <c r="AA562" s="1696"/>
      <c r="AB562" s="1696"/>
      <c r="AC562" s="1696"/>
      <c r="AD562" s="1696"/>
      <c r="AE562" s="1677"/>
      <c r="AF562" s="1678"/>
      <c r="AG562" s="1678"/>
      <c r="AH562" s="1679"/>
      <c r="AI562" s="1680"/>
      <c r="AJ562" s="1681"/>
      <c r="AK562" s="1681"/>
      <c r="AL562" s="1682"/>
      <c r="AM562" s="1670"/>
      <c r="AN562" s="1671"/>
      <c r="AO562" s="1671"/>
      <c r="AP562" s="1671"/>
      <c r="AQ562" s="1671"/>
      <c r="AR562" s="1671"/>
      <c r="AS562" s="1672"/>
      <c r="AT562" s="1148" t="str">
        <f t="shared" si="0"/>
        <v/>
      </c>
      <c r="AU562" s="1147"/>
      <c r="BB562" s="3"/>
      <c r="BC562" s="3"/>
      <c r="BD562" s="3"/>
      <c r="BE562" s="3"/>
      <c r="BF562" s="3"/>
      <c r="BG562" s="3"/>
      <c r="BH562" s="3"/>
      <c r="BI562" s="3"/>
    </row>
    <row r="563" spans="1:61" ht="12.95" customHeight="1">
      <c r="B563" s="52" t="s">
        <v>646</v>
      </c>
      <c r="C563" s="1683"/>
      <c r="D563" s="1683"/>
      <c r="E563" s="1683"/>
      <c r="F563" s="1683"/>
      <c r="G563" s="1683"/>
      <c r="H563" s="1683"/>
      <c r="I563" s="1683"/>
      <c r="J563" s="1683"/>
      <c r="K563" s="1683"/>
      <c r="L563" s="1683"/>
      <c r="M563" s="1695" t="s">
        <v>1184</v>
      </c>
      <c r="N563" s="1695"/>
      <c r="O563" s="1695"/>
      <c r="P563" s="1695"/>
      <c r="Q563" s="1453"/>
      <c r="R563" s="1454"/>
      <c r="S563" s="1455"/>
      <c r="T563" s="1453"/>
      <c r="U563" s="1454"/>
      <c r="V563" s="1455"/>
      <c r="W563" s="1456"/>
      <c r="X563" s="1457"/>
      <c r="Y563" s="1458"/>
      <c r="Z563" s="1696" t="s">
        <v>1184</v>
      </c>
      <c r="AA563" s="1696"/>
      <c r="AB563" s="1696"/>
      <c r="AC563" s="1696"/>
      <c r="AD563" s="1696"/>
      <c r="AE563" s="1677"/>
      <c r="AF563" s="1678"/>
      <c r="AG563" s="1678"/>
      <c r="AH563" s="1679"/>
      <c r="AI563" s="1680"/>
      <c r="AJ563" s="1681"/>
      <c r="AK563" s="1681"/>
      <c r="AL563" s="1682"/>
      <c r="AM563" s="1670"/>
      <c r="AN563" s="1671"/>
      <c r="AO563" s="1671"/>
      <c r="AP563" s="1671"/>
      <c r="AQ563" s="1671"/>
      <c r="AR563" s="1671"/>
      <c r="AS563" s="1672"/>
      <c r="AT563" s="1148" t="str">
        <f t="shared" si="0"/>
        <v/>
      </c>
      <c r="BB563" s="3"/>
      <c r="BC563" s="3"/>
      <c r="BD563" s="3"/>
      <c r="BE563" s="3"/>
      <c r="BF563" s="3"/>
      <c r="BG563" s="3"/>
      <c r="BH563" s="3"/>
      <c r="BI563" s="3"/>
    </row>
    <row r="564" spans="1:61" ht="12.95" customHeight="1">
      <c r="B564" s="52" t="s">
        <v>361</v>
      </c>
      <c r="C564" s="1683"/>
      <c r="D564" s="1683"/>
      <c r="E564" s="1683"/>
      <c r="F564" s="1683"/>
      <c r="G564" s="1683"/>
      <c r="H564" s="1683"/>
      <c r="I564" s="1683"/>
      <c r="J564" s="1683"/>
      <c r="K564" s="1683"/>
      <c r="L564" s="1683"/>
      <c r="M564" s="1695" t="s">
        <v>1184</v>
      </c>
      <c r="N564" s="1695"/>
      <c r="O564" s="1695"/>
      <c r="P564" s="1695"/>
      <c r="Q564" s="1453"/>
      <c r="R564" s="1454"/>
      <c r="S564" s="1455"/>
      <c r="T564" s="1453"/>
      <c r="U564" s="1454"/>
      <c r="V564" s="1455"/>
      <c r="W564" s="1456"/>
      <c r="X564" s="1457"/>
      <c r="Y564" s="1458"/>
      <c r="Z564" s="1696" t="s">
        <v>1184</v>
      </c>
      <c r="AA564" s="1696"/>
      <c r="AB564" s="1696"/>
      <c r="AC564" s="1696"/>
      <c r="AD564" s="1696"/>
      <c r="AE564" s="1677"/>
      <c r="AF564" s="1678"/>
      <c r="AG564" s="1678"/>
      <c r="AH564" s="1679"/>
      <c r="AI564" s="1680"/>
      <c r="AJ564" s="1681"/>
      <c r="AK564" s="1681"/>
      <c r="AL564" s="1682"/>
      <c r="AM564" s="1670"/>
      <c r="AN564" s="1671"/>
      <c r="AO564" s="1671"/>
      <c r="AP564" s="1671"/>
      <c r="AQ564" s="1671"/>
      <c r="AR564" s="1671"/>
      <c r="AS564" s="1672"/>
      <c r="AT564" s="1148" t="str">
        <f t="shared" si="0"/>
        <v/>
      </c>
      <c r="BB564" s="3"/>
      <c r="BC564" s="3"/>
      <c r="BD564" s="3"/>
      <c r="BE564" s="3"/>
      <c r="BF564" s="3"/>
      <c r="BG564" s="3"/>
      <c r="BH564" s="3"/>
      <c r="BI564" s="3"/>
    </row>
    <row r="565" spans="1:61" ht="12.95" customHeight="1">
      <c r="B565" s="52" t="s">
        <v>362</v>
      </c>
      <c r="C565" s="1683"/>
      <c r="D565" s="1683"/>
      <c r="E565" s="1683"/>
      <c r="F565" s="1683"/>
      <c r="G565" s="1683"/>
      <c r="H565" s="1683"/>
      <c r="I565" s="1683"/>
      <c r="J565" s="1683"/>
      <c r="K565" s="1683"/>
      <c r="L565" s="1683"/>
      <c r="M565" s="1695" t="s">
        <v>1184</v>
      </c>
      <c r="N565" s="1695"/>
      <c r="O565" s="1695"/>
      <c r="P565" s="1695"/>
      <c r="Q565" s="1453"/>
      <c r="R565" s="1454"/>
      <c r="S565" s="1455"/>
      <c r="T565" s="1453"/>
      <c r="U565" s="1454"/>
      <c r="V565" s="1455"/>
      <c r="W565" s="1456"/>
      <c r="X565" s="1457"/>
      <c r="Y565" s="1458"/>
      <c r="Z565" s="1696" t="s">
        <v>1184</v>
      </c>
      <c r="AA565" s="1696"/>
      <c r="AB565" s="1696"/>
      <c r="AC565" s="1696"/>
      <c r="AD565" s="1696"/>
      <c r="AE565" s="1677"/>
      <c r="AF565" s="1678"/>
      <c r="AG565" s="1678"/>
      <c r="AH565" s="1679"/>
      <c r="AI565" s="1680"/>
      <c r="AJ565" s="1681"/>
      <c r="AK565" s="1681"/>
      <c r="AL565" s="1682"/>
      <c r="AM565" s="1670"/>
      <c r="AN565" s="1671"/>
      <c r="AO565" s="1671"/>
      <c r="AP565" s="1671"/>
      <c r="AQ565" s="1671"/>
      <c r="AR565" s="1671"/>
      <c r="AS565" s="1672"/>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5">
        <f>SUM(AM554:AS565)</f>
        <v>81702348</v>
      </c>
      <c r="AN566" s="1616"/>
      <c r="AO566" s="1616"/>
      <c r="AP566" s="1616"/>
      <c r="AQ566" s="1616"/>
      <c r="AR566" s="1616"/>
      <c r="AS566" s="1617"/>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9" t="str">
        <f>C554</f>
        <v>Chase - Tax Exempt Construction Loan</v>
      </c>
      <c r="H568" s="1359"/>
      <c r="I568" s="1359"/>
      <c r="J568" s="1359"/>
      <c r="K568" s="1359"/>
      <c r="L568" s="1359"/>
      <c r="M568" s="1359"/>
      <c r="N568" s="1359"/>
      <c r="O568" s="1359"/>
      <c r="P568" s="1359"/>
      <c r="Q568" s="1359"/>
      <c r="R568" s="1359"/>
      <c r="S568" s="8"/>
      <c r="T568" s="55" t="s">
        <v>113</v>
      </c>
      <c r="U568" t="s">
        <v>463</v>
      </c>
      <c r="Z568" s="1359" t="str">
        <f>C555</f>
        <v>Chase - Taxable Construction Loan</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3" t="s">
        <v>2712</v>
      </c>
      <c r="H569" s="1373"/>
      <c r="I569" s="1373"/>
      <c r="J569" s="1373"/>
      <c r="K569" s="1373"/>
      <c r="L569" s="1373"/>
      <c r="M569" s="1373"/>
      <c r="N569" s="1373"/>
      <c r="O569" s="1373"/>
      <c r="P569" s="1373"/>
      <c r="Q569" s="1373"/>
      <c r="R569" s="1373"/>
      <c r="S569" s="8"/>
      <c r="T569" s="22"/>
      <c r="U569" t="s">
        <v>85</v>
      </c>
      <c r="Z569" s="1373" t="s">
        <v>2712</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580</v>
      </c>
      <c r="G570" s="1373" t="s">
        <v>2713</v>
      </c>
      <c r="H570" s="1373"/>
      <c r="I570" s="1373"/>
      <c r="J570" s="1373"/>
      <c r="K570" s="1373"/>
      <c r="L570" s="1373"/>
      <c r="M570" s="1373"/>
      <c r="N570" s="1373"/>
      <c r="O570" s="1373"/>
      <c r="P570" s="1373"/>
      <c r="Q570" s="1373"/>
      <c r="R570" s="1373"/>
      <c r="T570" s="22"/>
      <c r="U570" t="s">
        <v>580</v>
      </c>
      <c r="Z570" s="1349" t="s">
        <v>2713</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3" t="s">
        <v>2714</v>
      </c>
      <c r="H571" s="1373"/>
      <c r="I571" s="1373"/>
      <c r="J571" s="1373"/>
      <c r="K571" s="1373"/>
      <c r="L571" s="1373"/>
      <c r="M571" s="1373"/>
      <c r="N571" s="1373"/>
      <c r="O571" s="1373"/>
      <c r="P571" s="1373"/>
      <c r="Q571" s="1373"/>
      <c r="R571" s="1373"/>
      <c r="S571" s="8"/>
      <c r="T571" s="22"/>
      <c r="U571" t="s">
        <v>17</v>
      </c>
      <c r="Z571" s="1349" t="s">
        <v>2714</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315</v>
      </c>
      <c r="G572" s="1346" t="s">
        <v>2757</v>
      </c>
      <c r="H572" s="1347"/>
      <c r="I572" s="1347"/>
      <c r="J572" s="1347"/>
      <c r="K572" s="1347"/>
      <c r="L572" s="1347"/>
      <c r="O572" s="33" t="s">
        <v>205</v>
      </c>
      <c r="P572" s="1438"/>
      <c r="Q572" s="1438"/>
      <c r="R572" s="1438"/>
      <c r="S572" s="10"/>
      <c r="T572" s="22"/>
      <c r="U572" t="s">
        <v>315</v>
      </c>
      <c r="Z572" s="1346" t="s">
        <v>2757</v>
      </c>
      <c r="AA572" s="1347"/>
      <c r="AB572" s="1347"/>
      <c r="AC572" s="1347"/>
      <c r="AD572" s="1347"/>
      <c r="AE572" s="1347"/>
      <c r="AH572" s="33" t="s">
        <v>205</v>
      </c>
      <c r="AI572" s="1438"/>
      <c r="AJ572" s="1438"/>
      <c r="AK572" s="1438"/>
      <c r="BB572" s="3"/>
      <c r="BC572" s="3"/>
      <c r="BD572" s="3"/>
      <c r="BE572" s="3"/>
      <c r="BF572" s="3"/>
      <c r="BG572" s="3"/>
      <c r="BH572" s="3"/>
      <c r="BI572" s="3"/>
    </row>
    <row r="573" spans="1:61" ht="12.95" customHeight="1">
      <c r="A573" s="22"/>
      <c r="B573" t="s">
        <v>18</v>
      </c>
      <c r="H573" s="1373"/>
      <c r="I573" s="1373"/>
      <c r="J573" s="1373"/>
      <c r="K573" s="1373"/>
      <c r="L573" s="1373"/>
      <c r="M573" s="1373"/>
      <c r="N573" s="1373"/>
      <c r="O573" s="1373"/>
      <c r="P573" s="1373"/>
      <c r="Q573" s="1373"/>
      <c r="R573" s="1373"/>
      <c r="S573" s="8"/>
      <c r="T573" s="22"/>
      <c r="U573" t="s">
        <v>18</v>
      </c>
      <c r="AA573" s="1373"/>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1185</v>
      </c>
      <c r="H574" s="8"/>
      <c r="I574" s="8"/>
      <c r="J574" s="8"/>
      <c r="K574" s="8"/>
      <c r="L574" s="8"/>
      <c r="M574" s="1698"/>
      <c r="N574" s="1698"/>
      <c r="O574" s="1698"/>
      <c r="P574" s="1698"/>
      <c r="Q574" s="1698"/>
      <c r="R574" s="1698"/>
      <c r="S574" s="8"/>
      <c r="T574" s="22"/>
      <c r="U574" s="320" t="s">
        <v>1185</v>
      </c>
      <c r="AA574" s="8"/>
      <c r="AB574" s="8"/>
      <c r="AC574" s="8"/>
      <c r="AD574" s="8"/>
      <c r="AE574" s="8"/>
      <c r="AF574" s="1698"/>
      <c r="AG574" s="1698"/>
      <c r="AH574" s="1698"/>
      <c r="AI574" s="1698"/>
      <c r="AJ574" s="1698"/>
      <c r="AK574" s="1698"/>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Sponsor Loan: Ferguson Foundation Grant</v>
      </c>
      <c r="H577" s="1359"/>
      <c r="I577" s="1359"/>
      <c r="J577" s="1359"/>
      <c r="K577" s="1359"/>
      <c r="L577" s="1359"/>
      <c r="M577" s="1359"/>
      <c r="N577" s="1359"/>
      <c r="O577" s="1359"/>
      <c r="P577" s="1359"/>
      <c r="Q577" s="1359"/>
      <c r="R577" s="1359"/>
      <c r="T577" s="55" t="s">
        <v>581</v>
      </c>
      <c r="U577" t="s">
        <v>463</v>
      </c>
      <c r="Z577" s="1359" t="str">
        <f>C557</f>
        <v>City of Oakland Loan</v>
      </c>
      <c r="AA577" s="1359"/>
      <c r="AB577" s="1359"/>
      <c r="AC577" s="1359"/>
      <c r="AD577" s="1359"/>
      <c r="AE577" s="1359"/>
      <c r="AF577" s="1359"/>
      <c r="AG577" s="1359"/>
      <c r="AH577" s="1359"/>
      <c r="AI577" s="1359"/>
      <c r="AJ577" s="1359"/>
      <c r="AK577" s="1359"/>
      <c r="BB577" s="3"/>
      <c r="BC577" s="3"/>
    </row>
    <row r="578" spans="1:55" ht="12.95" customHeight="1">
      <c r="A578" s="22"/>
      <c r="B578" t="s">
        <v>85</v>
      </c>
      <c r="G578" s="1373" t="s">
        <v>2715</v>
      </c>
      <c r="H578" s="1373"/>
      <c r="I578" s="1373"/>
      <c r="J578" s="1373"/>
      <c r="K578" s="1373"/>
      <c r="L578" s="1373"/>
      <c r="M578" s="1373"/>
      <c r="N578" s="1373"/>
      <c r="O578" s="1373"/>
      <c r="P578" s="1373"/>
      <c r="Q578" s="1373"/>
      <c r="R578" s="1373"/>
      <c r="T578" s="22"/>
      <c r="U578" t="s">
        <v>85</v>
      </c>
      <c r="Z578" s="1373" t="s">
        <v>2716</v>
      </c>
      <c r="AA578" s="1373"/>
      <c r="AB578" s="1373"/>
      <c r="AC578" s="1373"/>
      <c r="AD578" s="1373"/>
      <c r="AE578" s="1373"/>
      <c r="AF578" s="1373"/>
      <c r="AG578" s="1373"/>
      <c r="AH578" s="1373"/>
      <c r="AI578" s="1373"/>
      <c r="AJ578" s="1373"/>
      <c r="AK578" s="1373"/>
      <c r="BB578" s="3"/>
      <c r="BC578" s="3"/>
    </row>
    <row r="579" spans="1:55" ht="12.95" customHeight="1">
      <c r="A579" s="22"/>
      <c r="B579" t="s">
        <v>580</v>
      </c>
      <c r="G579" s="1349" t="s">
        <v>2637</v>
      </c>
      <c r="H579" s="1349"/>
      <c r="I579" s="1349"/>
      <c r="J579" s="1349"/>
      <c r="K579" s="1349"/>
      <c r="L579" s="1349"/>
      <c r="M579" s="1349"/>
      <c r="N579" s="1349"/>
      <c r="O579" s="1349"/>
      <c r="P579" s="1349"/>
      <c r="Q579" s="1349"/>
      <c r="R579" s="1349"/>
      <c r="T579" s="22"/>
      <c r="U579" t="s">
        <v>580</v>
      </c>
      <c r="Z579" s="1349" t="s">
        <v>2718</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2632</v>
      </c>
      <c r="H580" s="1349"/>
      <c r="I580" s="1349"/>
      <c r="J580" s="1349"/>
      <c r="K580" s="1349"/>
      <c r="L580" s="1349"/>
      <c r="M580" s="1349"/>
      <c r="N580" s="1349"/>
      <c r="O580" s="1349"/>
      <c r="P580" s="1349"/>
      <c r="Q580" s="1349"/>
      <c r="R580" s="1349"/>
      <c r="T580" s="22"/>
      <c r="U580" t="s">
        <v>17</v>
      </c>
      <c r="Z580" s="1349" t="s">
        <v>2717</v>
      </c>
      <c r="AA580" s="1349"/>
      <c r="AB580" s="1349"/>
      <c r="AC580" s="1349"/>
      <c r="AD580" s="1349"/>
      <c r="AE580" s="1349"/>
      <c r="AF580" s="1349"/>
      <c r="AG580" s="1349"/>
      <c r="AH580" s="1349"/>
      <c r="AI580" s="1349"/>
      <c r="AJ580" s="1349"/>
      <c r="AK580" s="1349"/>
      <c r="BB580" s="3"/>
      <c r="BC580" s="3"/>
    </row>
    <row r="581" spans="1:55" ht="12.95" customHeight="1">
      <c r="A581" s="22"/>
      <c r="B581" t="s">
        <v>315</v>
      </c>
      <c r="G581" s="1346" t="s">
        <v>2627</v>
      </c>
      <c r="H581" s="1347"/>
      <c r="I581" s="1347"/>
      <c r="J581" s="1347"/>
      <c r="K581" s="1347"/>
      <c r="L581" s="1347"/>
      <c r="O581" s="33" t="s">
        <v>205</v>
      </c>
      <c r="P581" s="1438"/>
      <c r="Q581" s="1438"/>
      <c r="R581" s="1438"/>
      <c r="T581" s="22"/>
      <c r="U581" t="s">
        <v>315</v>
      </c>
      <c r="Z581" s="1346" t="s">
        <v>2756</v>
      </c>
      <c r="AA581" s="1347"/>
      <c r="AB581" s="1347"/>
      <c r="AC581" s="1347"/>
      <c r="AD581" s="1347"/>
      <c r="AE581" s="1347"/>
      <c r="AH581" s="33" t="s">
        <v>205</v>
      </c>
      <c r="AI581" s="1438"/>
      <c r="AJ581" s="1438"/>
      <c r="AK581" s="1438"/>
      <c r="BB581" s="3"/>
      <c r="BC581" s="3"/>
    </row>
    <row r="582" spans="1:55" ht="12.95" customHeight="1">
      <c r="A582" s="22"/>
      <c r="B582" t="s">
        <v>18</v>
      </c>
      <c r="H582" s="1373"/>
      <c r="I582" s="1373"/>
      <c r="J582" s="1373"/>
      <c r="K582" s="1373"/>
      <c r="L582" s="1373"/>
      <c r="M582" s="1373"/>
      <c r="N582" s="1373"/>
      <c r="O582" s="1373"/>
      <c r="P582" s="1373"/>
      <c r="Q582" s="1373"/>
      <c r="R582" s="1373"/>
      <c r="T582" s="22"/>
      <c r="U582" t="s">
        <v>18</v>
      </c>
      <c r="AA582" s="1373"/>
      <c r="AB582" s="1373"/>
      <c r="AC582" s="1373"/>
      <c r="AD582" s="1373"/>
      <c r="AE582" s="1373"/>
      <c r="AF582" s="1373"/>
      <c r="AG582" s="1373"/>
      <c r="AH582" s="1373"/>
      <c r="AI582" s="1373"/>
      <c r="AJ582" s="1373"/>
      <c r="AK582" s="1373"/>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9" t="str">
        <f>C558</f>
        <v>Deferred Developer Fee</v>
      </c>
      <c r="H585" s="1359"/>
      <c r="I585" s="1359"/>
      <c r="J585" s="1359"/>
      <c r="K585" s="1359"/>
      <c r="L585" s="1359"/>
      <c r="M585" s="1359"/>
      <c r="N585" s="1359"/>
      <c r="O585" s="1359"/>
      <c r="P585" s="1359"/>
      <c r="Q585" s="1359"/>
      <c r="R585" s="1359"/>
      <c r="T585" s="55" t="s">
        <v>584</v>
      </c>
      <c r="U585" t="s">
        <v>463</v>
      </c>
      <c r="Z585" s="1359" t="str">
        <f>C559</f>
        <v>Costs Deferred Until Conversion</v>
      </c>
      <c r="AA585" s="1359"/>
      <c r="AB585" s="1359"/>
      <c r="AC585" s="1359"/>
      <c r="AD585" s="1359"/>
      <c r="AE585" s="1359"/>
      <c r="AF585" s="1359"/>
      <c r="AG585" s="1359"/>
      <c r="AH585" s="1359"/>
      <c r="AI585" s="1359"/>
      <c r="AJ585" s="1359"/>
      <c r="AK585" s="1359"/>
      <c r="BB585" s="3"/>
      <c r="BC585" s="3"/>
    </row>
    <row r="586" spans="1:55" ht="12.95" customHeight="1">
      <c r="A586" s="22"/>
      <c r="B586" t="s">
        <v>85</v>
      </c>
      <c r="G586" s="1373" t="s">
        <v>2715</v>
      </c>
      <c r="H586" s="1373"/>
      <c r="I586" s="1373"/>
      <c r="J586" s="1373"/>
      <c r="K586" s="1373"/>
      <c r="L586" s="1373"/>
      <c r="M586" s="1373"/>
      <c r="N586" s="1373"/>
      <c r="O586" s="1373"/>
      <c r="P586" s="1373"/>
      <c r="Q586" s="1373"/>
      <c r="R586" s="1373"/>
      <c r="T586" s="22"/>
      <c r="U586" t="s">
        <v>85</v>
      </c>
      <c r="Z586" s="1373" t="s">
        <v>2715</v>
      </c>
      <c r="AA586" s="1373"/>
      <c r="AB586" s="1373"/>
      <c r="AC586" s="1373"/>
      <c r="AD586" s="1373"/>
      <c r="AE586" s="1373"/>
      <c r="AF586" s="1373"/>
      <c r="AG586" s="1373"/>
      <c r="AH586" s="1373"/>
      <c r="AI586" s="1373"/>
      <c r="AJ586" s="1373"/>
      <c r="AK586" s="1373"/>
      <c r="BB586" s="3"/>
      <c r="BC586" s="3"/>
    </row>
    <row r="587" spans="1:55" ht="12.95" customHeight="1">
      <c r="A587" s="22"/>
      <c r="B587" t="s">
        <v>580</v>
      </c>
      <c r="G587" s="1373" t="s">
        <v>2637</v>
      </c>
      <c r="H587" s="1373"/>
      <c r="I587" s="1373"/>
      <c r="J587" s="1373"/>
      <c r="K587" s="1373"/>
      <c r="L587" s="1373"/>
      <c r="M587" s="1373"/>
      <c r="N587" s="1373"/>
      <c r="O587" s="1373"/>
      <c r="P587" s="1373"/>
      <c r="Q587" s="1373"/>
      <c r="R587" s="1373"/>
      <c r="T587" s="22"/>
      <c r="U587" t="s">
        <v>580</v>
      </c>
      <c r="Z587" s="1349" t="s">
        <v>2637</v>
      </c>
      <c r="AA587" s="1349"/>
      <c r="AB587" s="1349"/>
      <c r="AC587" s="1349"/>
      <c r="AD587" s="1349"/>
      <c r="AE587" s="1349"/>
      <c r="AF587" s="1349"/>
      <c r="AG587" s="1349"/>
      <c r="AH587" s="1349"/>
      <c r="AI587" s="1349"/>
      <c r="AJ587" s="1349"/>
      <c r="AK587" s="1349"/>
      <c r="BB587" s="3"/>
      <c r="BC587" s="3"/>
    </row>
    <row r="588" spans="1:55" ht="12.95" customHeight="1">
      <c r="A588" s="22"/>
      <c r="B588" t="s">
        <v>17</v>
      </c>
      <c r="G588" s="1373" t="s">
        <v>2632</v>
      </c>
      <c r="H588" s="1373"/>
      <c r="I588" s="1373"/>
      <c r="J588" s="1373"/>
      <c r="K588" s="1373"/>
      <c r="L588" s="1373"/>
      <c r="M588" s="1373"/>
      <c r="N588" s="1373"/>
      <c r="O588" s="1373"/>
      <c r="P588" s="1373"/>
      <c r="Q588" s="1373"/>
      <c r="R588" s="1373"/>
      <c r="T588" s="22"/>
      <c r="U588" t="s">
        <v>17</v>
      </c>
      <c r="Z588" s="1349" t="s">
        <v>2632</v>
      </c>
      <c r="AA588" s="1349"/>
      <c r="AB588" s="1349"/>
      <c r="AC588" s="1349"/>
      <c r="AD588" s="1349"/>
      <c r="AE588" s="1349"/>
      <c r="AF588" s="1349"/>
      <c r="AG588" s="1349"/>
      <c r="AH588" s="1349"/>
      <c r="AI588" s="1349"/>
      <c r="AJ588" s="1349"/>
      <c r="AK588" s="1349"/>
    </row>
    <row r="589" spans="1:55" ht="12.95" customHeight="1">
      <c r="A589" s="22"/>
      <c r="B589" t="s">
        <v>315</v>
      </c>
      <c r="G589" s="1346" t="s">
        <v>2627</v>
      </c>
      <c r="H589" s="1347"/>
      <c r="I589" s="1347"/>
      <c r="J589" s="1347"/>
      <c r="K589" s="1347"/>
      <c r="L589" s="1347"/>
      <c r="O589" s="33" t="s">
        <v>205</v>
      </c>
      <c r="P589" s="1438"/>
      <c r="Q589" s="1438"/>
      <c r="R589" s="1438"/>
      <c r="T589" s="22"/>
      <c r="U589" t="s">
        <v>315</v>
      </c>
      <c r="Z589" s="1346" t="s">
        <v>2627</v>
      </c>
      <c r="AA589" s="1347"/>
      <c r="AB589" s="1347"/>
      <c r="AC589" s="1347"/>
      <c r="AD589" s="1347"/>
      <c r="AE589" s="1347"/>
      <c r="AH589" s="33" t="s">
        <v>205</v>
      </c>
      <c r="AI589" s="1438"/>
      <c r="AJ589" s="1438"/>
      <c r="AK589" s="1438"/>
      <c r="AZ589" s="3"/>
      <c r="BA589" s="3"/>
      <c r="BB589" s="3"/>
      <c r="BC589" s="3"/>
    </row>
    <row r="590" spans="1:55" ht="12.95" customHeight="1">
      <c r="A590" s="22"/>
      <c r="B590" t="s">
        <v>18</v>
      </c>
      <c r="H590" s="1373"/>
      <c r="I590" s="1373"/>
      <c r="J590" s="1373"/>
      <c r="K590" s="1373"/>
      <c r="L590" s="1373"/>
      <c r="M590" s="1373"/>
      <c r="N590" s="1373"/>
      <c r="O590" s="1373"/>
      <c r="P590" s="1373"/>
      <c r="Q590" s="1373"/>
      <c r="R590" s="1373"/>
      <c r="T590" s="22"/>
      <c r="U590" t="s">
        <v>18</v>
      </c>
      <c r="AA590" s="1373"/>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9" t="str">
        <f>C560</f>
        <v>Limited Partner Tax Credit Equity</v>
      </c>
      <c r="H593" s="1359"/>
      <c r="I593" s="1359"/>
      <c r="J593" s="1359"/>
      <c r="K593" s="1359"/>
      <c r="L593" s="1359"/>
      <c r="M593" s="1359"/>
      <c r="N593" s="1359"/>
      <c r="O593" s="1359"/>
      <c r="P593" s="1359"/>
      <c r="Q593" s="1359"/>
      <c r="R593" s="1359"/>
      <c r="T593" s="55" t="s">
        <v>456</v>
      </c>
      <c r="U593" t="s">
        <v>463</v>
      </c>
      <c r="Z593" s="1359" t="str">
        <f>C561</f>
        <v>Donated Land</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2750</v>
      </c>
      <c r="H594" s="1373"/>
      <c r="I594" s="1373"/>
      <c r="J594" s="1373"/>
      <c r="K594" s="1373"/>
      <c r="L594" s="1373"/>
      <c r="M594" s="1373"/>
      <c r="N594" s="1373"/>
      <c r="O594" s="1373"/>
      <c r="P594" s="1373"/>
      <c r="Q594" s="1373"/>
      <c r="R594" s="1373"/>
      <c r="S594"/>
      <c r="T594" s="22"/>
      <c r="U594" t="s">
        <v>85</v>
      </c>
      <c r="V594"/>
      <c r="W594"/>
      <c r="X594"/>
      <c r="Y594"/>
      <c r="Z594" s="1373" t="s">
        <v>2715</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3"/>
      <c r="H595" s="1373"/>
      <c r="I595" s="1373"/>
      <c r="J595" s="1373"/>
      <c r="K595" s="1373"/>
      <c r="L595" s="1373"/>
      <c r="M595" s="1373"/>
      <c r="N595" s="1373"/>
      <c r="O595" s="1373"/>
      <c r="P595" s="1373"/>
      <c r="Q595" s="1373"/>
      <c r="R595" s="1373"/>
      <c r="S595"/>
      <c r="T595" s="22"/>
      <c r="U595" t="s">
        <v>580</v>
      </c>
      <c r="V595"/>
      <c r="W595"/>
      <c r="X595"/>
      <c r="Y595"/>
      <c r="Z595" s="1349" t="s">
        <v>2637</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49" t="s">
        <v>2632</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7"/>
      <c r="H597" s="1347"/>
      <c r="I597" s="1347"/>
      <c r="J597" s="1347"/>
      <c r="K597" s="1347"/>
      <c r="L597" s="1347"/>
      <c r="M597"/>
      <c r="N597"/>
      <c r="O597" s="33" t="s">
        <v>205</v>
      </c>
      <c r="P597" s="1438"/>
      <c r="Q597" s="1438"/>
      <c r="R597" s="1438"/>
      <c r="S597"/>
      <c r="T597" s="22"/>
      <c r="U597" t="s">
        <v>315</v>
      </c>
      <c r="V597"/>
      <c r="W597"/>
      <c r="X597"/>
      <c r="Y597"/>
      <c r="Z597" s="1346" t="s">
        <v>2627</v>
      </c>
      <c r="AA597" s="1347"/>
      <c r="AB597" s="1347"/>
      <c r="AC597" s="1347"/>
      <c r="AD597" s="1347"/>
      <c r="AE597" s="1347"/>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2" t="s">
        <v>669</v>
      </c>
      <c r="O599" s="1332"/>
      <c r="T599" s="22"/>
      <c r="U599" t="s">
        <v>20</v>
      </c>
      <c r="AG599" s="1332" t="s">
        <v>545</v>
      </c>
      <c r="AH599" s="1332"/>
      <c r="BB599" s="3"/>
      <c r="BC599" s="3"/>
    </row>
    <row r="600" spans="1:55" ht="12.95" customHeight="1">
      <c r="A600" s="22"/>
      <c r="T600" s="22"/>
      <c r="BB600" s="3"/>
      <c r="BC600" s="3"/>
    </row>
    <row r="601" spans="1:55" ht="12.9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580</v>
      </c>
      <c r="G603" s="1373"/>
      <c r="H603" s="1373"/>
      <c r="I603" s="1373"/>
      <c r="J603" s="1373"/>
      <c r="K603" s="1373"/>
      <c r="L603" s="1373"/>
      <c r="M603" s="1373"/>
      <c r="N603" s="1373"/>
      <c r="O603" s="1373"/>
      <c r="P603" s="1373"/>
      <c r="Q603" s="1373"/>
      <c r="R603" s="1373"/>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3"/>
      <c r="H604" s="1373"/>
      <c r="I604" s="1373"/>
      <c r="J604" s="1373"/>
      <c r="K604" s="1373"/>
      <c r="L604" s="1373"/>
      <c r="M604" s="1373"/>
      <c r="N604" s="1373"/>
      <c r="O604" s="1373"/>
      <c r="P604" s="1373"/>
      <c r="Q604" s="1373"/>
      <c r="R604" s="1373"/>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315</v>
      </c>
      <c r="C605"/>
      <c r="D605"/>
      <c r="E605"/>
      <c r="F605"/>
      <c r="G605" s="1347"/>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580</v>
      </c>
      <c r="G611" s="1373"/>
      <c r="H611" s="1373"/>
      <c r="I611" s="1373"/>
      <c r="J611" s="1373"/>
      <c r="K611" s="1373"/>
      <c r="L611" s="1373"/>
      <c r="M611" s="1373"/>
      <c r="N611" s="1373"/>
      <c r="O611" s="1373"/>
      <c r="P611" s="1373"/>
      <c r="Q611" s="1373"/>
      <c r="R611" s="1373"/>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2" t="s">
        <v>2103</v>
      </c>
      <c r="C624" s="1702"/>
      <c r="D624" s="1702"/>
      <c r="E624" s="1702"/>
      <c r="F624" s="1702"/>
      <c r="G624" s="1702"/>
      <c r="H624" s="1702"/>
      <c r="I624" s="1702"/>
      <c r="J624" s="1702"/>
      <c r="K624" s="1702"/>
      <c r="L624" s="1702"/>
      <c r="M624" s="1443" t="s">
        <v>2104</v>
      </c>
      <c r="N624" s="1443"/>
      <c r="O624" s="1443"/>
      <c r="P624" s="1443"/>
      <c r="Q624" s="1443" t="s">
        <v>1853</v>
      </c>
      <c r="R624" s="1443"/>
      <c r="S624" s="1443"/>
      <c r="T624" s="1443" t="s">
        <v>1851</v>
      </c>
      <c r="U624" s="1443"/>
      <c r="V624" s="1443"/>
      <c r="W624" s="1703" t="s">
        <v>453</v>
      </c>
      <c r="X624" s="1703"/>
      <c r="Y624" s="1703"/>
      <c r="Z624" s="1432" t="s">
        <v>2133</v>
      </c>
      <c r="AA624" s="1432"/>
      <c r="AB624" s="1433"/>
      <c r="AC624" s="1684" t="s">
        <v>1676</v>
      </c>
      <c r="AD624" s="1685"/>
      <c r="AE624" s="1686"/>
      <c r="AF624" s="1674" t="s">
        <v>1931</v>
      </c>
      <c r="AG624" s="1432"/>
      <c r="AH624" s="1432"/>
      <c r="AI624" s="1432"/>
      <c r="AJ624" s="1433"/>
      <c r="AK624" s="1735" t="s">
        <v>1932</v>
      </c>
      <c r="AL624" s="1736"/>
      <c r="AM624" s="1736"/>
      <c r="AN624" s="1737"/>
      <c r="AO624" s="1443" t="s">
        <v>454</v>
      </c>
      <c r="AP624" s="1443"/>
      <c r="AQ624" s="1443"/>
      <c r="AR624" s="1443"/>
      <c r="AS624" s="1443"/>
      <c r="AU624" s="3"/>
      <c r="AZ624" s="3"/>
      <c r="BA624" s="3"/>
      <c r="BB624" s="3"/>
      <c r="BC624" s="3"/>
    </row>
    <row r="625" spans="2:157" ht="12.95" customHeight="1">
      <c r="B625" s="1702"/>
      <c r="C625" s="1702"/>
      <c r="D625" s="1702"/>
      <c r="E625" s="1702"/>
      <c r="F625" s="1702"/>
      <c r="G625" s="1702"/>
      <c r="H625" s="1702"/>
      <c r="I625" s="1702"/>
      <c r="J625" s="1702"/>
      <c r="K625" s="1702"/>
      <c r="L625" s="1702"/>
      <c r="M625" s="1443"/>
      <c r="N625" s="1443"/>
      <c r="O625" s="1443"/>
      <c r="P625" s="1443"/>
      <c r="Q625" s="1443"/>
      <c r="R625" s="1443"/>
      <c r="S625" s="1443"/>
      <c r="T625" s="1443"/>
      <c r="U625" s="1443"/>
      <c r="V625" s="1443"/>
      <c r="W625" s="1703"/>
      <c r="X625" s="1703"/>
      <c r="Y625" s="1703"/>
      <c r="Z625" s="1434"/>
      <c r="AA625" s="1434"/>
      <c r="AB625" s="1435"/>
      <c r="AC625" s="1687"/>
      <c r="AD625" s="1688"/>
      <c r="AE625" s="1689"/>
      <c r="AF625" s="1675"/>
      <c r="AG625" s="1434"/>
      <c r="AH625" s="1434"/>
      <c r="AI625" s="1434"/>
      <c r="AJ625" s="1435"/>
      <c r="AK625" s="1738"/>
      <c r="AL625" s="1739"/>
      <c r="AM625" s="1739"/>
      <c r="AN625" s="1740"/>
      <c r="AO625" s="1443"/>
      <c r="AP625" s="1443"/>
      <c r="AQ625" s="1443"/>
      <c r="AR625" s="1443"/>
      <c r="AS625" s="1443"/>
      <c r="AU625" s="3"/>
      <c r="AZ625" s="3"/>
      <c r="BA625" s="3"/>
      <c r="BB625" s="3"/>
      <c r="BC625" s="3"/>
      <c r="BD625" s="3"/>
    </row>
    <row r="626" spans="2:157" ht="12.95" customHeight="1">
      <c r="B626" s="1702"/>
      <c r="C626" s="1702"/>
      <c r="D626" s="1702"/>
      <c r="E626" s="1702"/>
      <c r="F626" s="1702"/>
      <c r="G626" s="1702"/>
      <c r="H626" s="1702"/>
      <c r="I626" s="1702"/>
      <c r="J626" s="1702"/>
      <c r="K626" s="1702"/>
      <c r="L626" s="1702"/>
      <c r="M626" s="1443"/>
      <c r="N626" s="1443"/>
      <c r="O626" s="1443"/>
      <c r="P626" s="1443"/>
      <c r="Q626" s="1443"/>
      <c r="R626" s="1443"/>
      <c r="S626" s="1443"/>
      <c r="T626" s="1443"/>
      <c r="U626" s="1443"/>
      <c r="V626" s="1443"/>
      <c r="W626" s="1703"/>
      <c r="X626" s="1703"/>
      <c r="Y626" s="1703"/>
      <c r="Z626" s="1436"/>
      <c r="AA626" s="1436"/>
      <c r="AB626" s="1437"/>
      <c r="AC626" s="1690"/>
      <c r="AD626" s="1691"/>
      <c r="AE626" s="1692"/>
      <c r="AF626" s="1676"/>
      <c r="AG626" s="1436"/>
      <c r="AH626" s="1436"/>
      <c r="AI626" s="1436"/>
      <c r="AJ626" s="1437"/>
      <c r="AK626" s="1741"/>
      <c r="AL626" s="1742"/>
      <c r="AM626" s="1742"/>
      <c r="AN626" s="1743"/>
      <c r="AO626" s="1443"/>
      <c r="AP626" s="1443"/>
      <c r="AQ626" s="1443"/>
      <c r="AR626" s="1443"/>
      <c r="AS626" s="1443"/>
      <c r="AT626" s="3"/>
      <c r="AU626" s="3"/>
      <c r="AZ626" s="3"/>
      <c r="BA626" s="3"/>
      <c r="BB626" s="3"/>
      <c r="BC626" s="3"/>
      <c r="BD626" s="3"/>
    </row>
    <row r="627" spans="2:157" ht="12.95" customHeight="1">
      <c r="B627" s="51" t="s">
        <v>112</v>
      </c>
      <c r="C627" s="1694" t="s">
        <v>2746</v>
      </c>
      <c r="D627" s="1694"/>
      <c r="E627" s="1694"/>
      <c r="F627" s="1694"/>
      <c r="G627" s="1694"/>
      <c r="H627" s="1694"/>
      <c r="I627" s="1694"/>
      <c r="J627" s="1694"/>
      <c r="K627" s="1694"/>
      <c r="L627" s="1694"/>
      <c r="M627" s="1618" t="s">
        <v>2116</v>
      </c>
      <c r="N627" s="1618"/>
      <c r="O627" s="1618"/>
      <c r="P627" s="1618"/>
      <c r="Q627" s="1427">
        <f>Q628</f>
        <v>660</v>
      </c>
      <c r="R627" s="1427"/>
      <c r="S627" s="1428"/>
      <c r="T627" s="1426">
        <f>T628</f>
        <v>660</v>
      </c>
      <c r="U627" s="1427"/>
      <c r="V627" s="1428"/>
      <c r="W627" s="1439">
        <v>0</v>
      </c>
      <c r="X627" s="1440"/>
      <c r="Y627" s="1441"/>
      <c r="Z627" s="1479" t="s">
        <v>457</v>
      </c>
      <c r="AA627" s="1480"/>
      <c r="AB627" s="1481"/>
      <c r="AC627" s="1447">
        <v>3</v>
      </c>
      <c r="AD627" s="1448"/>
      <c r="AE627" s="1449"/>
      <c r="AF627" s="1476"/>
      <c r="AG627" s="1477"/>
      <c r="AH627" s="1477"/>
      <c r="AI627" s="1477"/>
      <c r="AJ627" s="1478"/>
      <c r="AK627" s="1429"/>
      <c r="AL627" s="1430"/>
      <c r="AM627" s="1430"/>
      <c r="AN627" s="1431"/>
      <c r="AO627" s="1482">
        <v>11800000</v>
      </c>
      <c r="AP627" s="1482"/>
      <c r="AQ627" s="1482"/>
      <c r="AR627" s="1482"/>
      <c r="AS627" s="1482"/>
      <c r="AT627" s="3"/>
      <c r="AU627" s="3"/>
      <c r="AZ627" s="3"/>
      <c r="BA627" s="3"/>
      <c r="BB627" s="3"/>
      <c r="BC627" s="3"/>
      <c r="BD627" s="3"/>
    </row>
    <row r="628" spans="2:157" ht="12.95" customHeight="1">
      <c r="B628" s="52" t="s">
        <v>113</v>
      </c>
      <c r="C628" s="1694" t="s">
        <v>2745</v>
      </c>
      <c r="D628" s="1694"/>
      <c r="E628" s="1694"/>
      <c r="F628" s="1694"/>
      <c r="G628" s="1694"/>
      <c r="H628" s="1694"/>
      <c r="I628" s="1694"/>
      <c r="J628" s="1694"/>
      <c r="K628" s="1694"/>
      <c r="L628" s="1694"/>
      <c r="M628" s="1618" t="s">
        <v>2116</v>
      </c>
      <c r="N628" s="1618"/>
      <c r="O628" s="1618"/>
      <c r="P628" s="1618"/>
      <c r="Q628" s="1426">
        <f>55*12</f>
        <v>660</v>
      </c>
      <c r="R628" s="1427"/>
      <c r="S628" s="1428"/>
      <c r="T628" s="1426">
        <f>Q628</f>
        <v>660</v>
      </c>
      <c r="U628" s="1427"/>
      <c r="V628" s="1428"/>
      <c r="W628" s="1439">
        <v>0.03</v>
      </c>
      <c r="X628" s="1440"/>
      <c r="Y628" s="1441"/>
      <c r="Z628" s="1479" t="s">
        <v>457</v>
      </c>
      <c r="AA628" s="1480"/>
      <c r="AB628" s="1481"/>
      <c r="AC628" s="1447">
        <v>2</v>
      </c>
      <c r="AD628" s="1448"/>
      <c r="AE628" s="1449"/>
      <c r="AF628" s="1476"/>
      <c r="AG628" s="1477"/>
      <c r="AH628" s="1477"/>
      <c r="AI628" s="1477"/>
      <c r="AJ628" s="1478"/>
      <c r="AK628" s="1429"/>
      <c r="AL628" s="1430"/>
      <c r="AM628" s="1430"/>
      <c r="AN628" s="1431"/>
      <c r="AO628" s="1467">
        <v>1000000</v>
      </c>
      <c r="AP628" s="1468"/>
      <c r="AQ628" s="1468"/>
      <c r="AR628" s="1468"/>
      <c r="AS628" s="1469"/>
      <c r="AT628" s="1148" t="str">
        <f>IF(AND(NOT(C627=""),C628="",NOT(C629="")),"!","")</f>
        <v/>
      </c>
      <c r="AU628" s="3"/>
      <c r="AZ628" s="3"/>
      <c r="BA628" s="3"/>
      <c r="BB628" s="3"/>
      <c r="BC628" s="3"/>
      <c r="BD628" s="3"/>
    </row>
    <row r="629" spans="2:157" ht="12.95" customHeight="1">
      <c r="B629" s="52" t="s">
        <v>119</v>
      </c>
      <c r="C629" s="1694" t="s">
        <v>2719</v>
      </c>
      <c r="D629" s="1694"/>
      <c r="E629" s="1694"/>
      <c r="F629" s="1694"/>
      <c r="G629" s="1694"/>
      <c r="H629" s="1694"/>
      <c r="I629" s="1694"/>
      <c r="J629" s="1694"/>
      <c r="K629" s="1694"/>
      <c r="L629" s="1694"/>
      <c r="M629" s="1618" t="s">
        <v>2118</v>
      </c>
      <c r="N629" s="1618"/>
      <c r="O629" s="1618"/>
      <c r="P629" s="1618"/>
      <c r="Q629" s="1426">
        <f>Q628</f>
        <v>660</v>
      </c>
      <c r="R629" s="1427"/>
      <c r="S629" s="1428"/>
      <c r="T629" s="1426">
        <f t="shared" ref="T629:T631" si="1">Q629</f>
        <v>660</v>
      </c>
      <c r="U629" s="1427"/>
      <c r="V629" s="1428"/>
      <c r="W629" s="1439">
        <v>0.03</v>
      </c>
      <c r="X629" s="1440"/>
      <c r="Y629" s="1441"/>
      <c r="Z629" s="1479" t="s">
        <v>457</v>
      </c>
      <c r="AA629" s="1480"/>
      <c r="AB629" s="1481"/>
      <c r="AC629" s="1447">
        <v>4</v>
      </c>
      <c r="AD629" s="1448"/>
      <c r="AE629" s="1449"/>
      <c r="AF629" s="1476"/>
      <c r="AG629" s="1477"/>
      <c r="AH629" s="1477"/>
      <c r="AI629" s="1477"/>
      <c r="AJ629" s="1478"/>
      <c r="AK629" s="1429"/>
      <c r="AL629" s="1430"/>
      <c r="AM629" s="1430"/>
      <c r="AN629" s="1431"/>
      <c r="AO629" s="1467">
        <v>8200000</v>
      </c>
      <c r="AP629" s="1468"/>
      <c r="AQ629" s="1468"/>
      <c r="AR629" s="1468"/>
      <c r="AS629" s="1469"/>
      <c r="AT629" s="1148" t="str">
        <f t="shared" ref="AT629:AT638" si="2">IF(AND(NOT(C628=""),C629="",NOT(C630="")),"!","")</f>
        <v/>
      </c>
      <c r="AU629" s="3"/>
      <c r="AZ629" s="3"/>
      <c r="BA629" s="3"/>
      <c r="BB629" s="3"/>
      <c r="BC629" s="3"/>
      <c r="BD629" s="3"/>
    </row>
    <row r="630" spans="2:157" ht="12.95" customHeight="1">
      <c r="B630" s="52" t="s">
        <v>581</v>
      </c>
      <c r="C630" s="1348" t="s">
        <v>2720</v>
      </c>
      <c r="D630" s="1348"/>
      <c r="E630" s="1348"/>
      <c r="F630" s="1348"/>
      <c r="G630" s="1348"/>
      <c r="H630" s="1348"/>
      <c r="I630" s="1348"/>
      <c r="J630" s="1348"/>
      <c r="K630" s="1348"/>
      <c r="L630" s="1348"/>
      <c r="M630" s="1618" t="s">
        <v>2116</v>
      </c>
      <c r="N630" s="1618"/>
      <c r="O630" s="1618"/>
      <c r="P630" s="1618"/>
      <c r="Q630" s="1426">
        <f>Q629</f>
        <v>660</v>
      </c>
      <c r="R630" s="1427"/>
      <c r="S630" s="1428"/>
      <c r="T630" s="1426">
        <f t="shared" si="1"/>
        <v>660</v>
      </c>
      <c r="U630" s="1427"/>
      <c r="V630" s="1428"/>
      <c r="W630" s="1439">
        <v>0</v>
      </c>
      <c r="X630" s="1440"/>
      <c r="Y630" s="1441"/>
      <c r="Z630" s="1479" t="s">
        <v>457</v>
      </c>
      <c r="AA630" s="1480"/>
      <c r="AB630" s="1481"/>
      <c r="AC630" s="1447">
        <v>5</v>
      </c>
      <c r="AD630" s="1448"/>
      <c r="AE630" s="1449"/>
      <c r="AF630" s="1476"/>
      <c r="AG630" s="1477"/>
      <c r="AH630" s="1477"/>
      <c r="AI630" s="1477"/>
      <c r="AJ630" s="1478"/>
      <c r="AK630" s="1429"/>
      <c r="AL630" s="1430"/>
      <c r="AM630" s="1430"/>
      <c r="AN630" s="1431"/>
      <c r="AO630" s="1467">
        <v>2000000</v>
      </c>
      <c r="AP630" s="1468"/>
      <c r="AQ630" s="1468"/>
      <c r="AR630" s="1468"/>
      <c r="AS630" s="1469"/>
      <c r="AT630" s="1148" t="str">
        <f t="shared" si="2"/>
        <v/>
      </c>
      <c r="AU630" s="3"/>
      <c r="AZ630" s="3"/>
      <c r="BA630" s="3"/>
      <c r="BB630" s="3"/>
      <c r="BC630" s="3"/>
      <c r="BD630" s="3"/>
    </row>
    <row r="631" spans="2:157" ht="12.95" customHeight="1">
      <c r="B631" s="52" t="s">
        <v>763</v>
      </c>
      <c r="C631" s="1348" t="s">
        <v>2709</v>
      </c>
      <c r="D631" s="1348"/>
      <c r="E631" s="1348"/>
      <c r="F631" s="1348"/>
      <c r="G631" s="1348"/>
      <c r="H631" s="1348"/>
      <c r="I631" s="1348"/>
      <c r="J631" s="1348"/>
      <c r="K631" s="1348"/>
      <c r="L631" s="1348"/>
      <c r="M631" s="1618" t="s">
        <v>2116</v>
      </c>
      <c r="N631" s="1618"/>
      <c r="O631" s="1618"/>
      <c r="P631" s="1618"/>
      <c r="Q631" s="1426">
        <f>Q630</f>
        <v>660</v>
      </c>
      <c r="R631" s="1427"/>
      <c r="S631" s="1428"/>
      <c r="T631" s="1426">
        <f t="shared" si="1"/>
        <v>660</v>
      </c>
      <c r="U631" s="1427"/>
      <c r="V631" s="1428"/>
      <c r="W631" s="1439">
        <v>0.03</v>
      </c>
      <c r="X631" s="1440"/>
      <c r="Y631" s="1441"/>
      <c r="Z631" s="1479" t="s">
        <v>457</v>
      </c>
      <c r="AA631" s="1480"/>
      <c r="AB631" s="1481"/>
      <c r="AC631" s="1447">
        <v>1</v>
      </c>
      <c r="AD631" s="1448"/>
      <c r="AE631" s="1449"/>
      <c r="AF631" s="1476"/>
      <c r="AG631" s="1477"/>
      <c r="AH631" s="1477"/>
      <c r="AI631" s="1477"/>
      <c r="AJ631" s="1478"/>
      <c r="AK631" s="1429"/>
      <c r="AL631" s="1430"/>
      <c r="AM631" s="1430"/>
      <c r="AN631" s="1431"/>
      <c r="AO631" s="1467">
        <v>20000000</v>
      </c>
      <c r="AP631" s="1468"/>
      <c r="AQ631" s="1468"/>
      <c r="AR631" s="1468"/>
      <c r="AS631" s="1469"/>
      <c r="AT631" s="1148" t="str">
        <f t="shared" si="2"/>
        <v/>
      </c>
      <c r="AU631" s="3"/>
      <c r="AZ631" s="3"/>
      <c r="BA631" s="3"/>
      <c r="BB631" s="3"/>
      <c r="BC631" s="3"/>
      <c r="BD631" s="3"/>
    </row>
    <row r="632" spans="2:157" ht="12.95" customHeight="1">
      <c r="B632" s="52" t="s">
        <v>584</v>
      </c>
      <c r="C632" s="1694" t="s">
        <v>2322</v>
      </c>
      <c r="D632" s="1348"/>
      <c r="E632" s="1348"/>
      <c r="F632" s="1348"/>
      <c r="G632" s="1348"/>
      <c r="H632" s="1348"/>
      <c r="I632" s="1348"/>
      <c r="J632" s="1348"/>
      <c r="K632" s="1348"/>
      <c r="L632" s="1348"/>
      <c r="M632" s="1618" t="s">
        <v>2107</v>
      </c>
      <c r="N632" s="1618"/>
      <c r="O632" s="1618"/>
      <c r="P632" s="1618"/>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f>'Sources and Uses Budget'!K99</f>
        <v>3500000</v>
      </c>
      <c r="AP632" s="1468"/>
      <c r="AQ632" s="1468"/>
      <c r="AR632" s="1468"/>
      <c r="AS632" s="1469"/>
      <c r="AT632" s="1148" t="str">
        <f t="shared" si="2"/>
        <v/>
      </c>
      <c r="AU632" s="3"/>
      <c r="AZ632" s="3"/>
      <c r="BA632" s="3"/>
      <c r="BB632" s="3"/>
      <c r="BC632" s="3"/>
      <c r="BD632" s="3"/>
    </row>
    <row r="633" spans="2:157" ht="12.95" customHeight="1">
      <c r="B633" s="52" t="s">
        <v>455</v>
      </c>
      <c r="C633" s="1348" t="str">
        <f>C561</f>
        <v>Donated Land</v>
      </c>
      <c r="D633" s="1348"/>
      <c r="E633" s="1348"/>
      <c r="F633" s="1348"/>
      <c r="G633" s="1348"/>
      <c r="H633" s="1348"/>
      <c r="I633" s="1348"/>
      <c r="J633" s="1348"/>
      <c r="K633" s="1348"/>
      <c r="L633" s="1348"/>
      <c r="M633" s="1618" t="s">
        <v>2127</v>
      </c>
      <c r="N633" s="1618"/>
      <c r="O633" s="1618"/>
      <c r="P633" s="1618"/>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f>AM561</f>
        <v>2000000</v>
      </c>
      <c r="AP633" s="1468"/>
      <c r="AQ633" s="1468"/>
      <c r="AR633" s="1468"/>
      <c r="AS633" s="1469"/>
      <c r="AT633" s="1148" t="str">
        <f t="shared" si="2"/>
        <v/>
      </c>
      <c r="AU633" s="3"/>
      <c r="AV633" s="3"/>
      <c r="AW633" s="3"/>
      <c r="AX633" s="3"/>
      <c r="AY633" s="3"/>
      <c r="AZ633" s="3"/>
      <c r="BA633" s="3"/>
      <c r="BB633" s="3"/>
      <c r="BC633" s="3"/>
      <c r="BD633" s="3"/>
    </row>
    <row r="634" spans="2:157" ht="12.95" customHeight="1">
      <c r="B634" s="52" t="s">
        <v>456</v>
      </c>
      <c r="C634" s="1348"/>
      <c r="D634" s="1348"/>
      <c r="E634" s="1348"/>
      <c r="F634" s="1348"/>
      <c r="G634" s="1348"/>
      <c r="H634" s="1348"/>
      <c r="I634" s="1348"/>
      <c r="J634" s="1348"/>
      <c r="K634" s="1348"/>
      <c r="L634" s="1348"/>
      <c r="M634" s="1618" t="s">
        <v>1184</v>
      </c>
      <c r="N634" s="1618"/>
      <c r="O634" s="1618"/>
      <c r="P634" s="1618"/>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2"/>
        <v/>
      </c>
      <c r="AU634" s="3"/>
      <c r="AV634" s="3"/>
      <c r="AW634" s="3"/>
      <c r="AX634" s="3"/>
      <c r="AY634" s="3"/>
      <c r="AZ634" s="3"/>
      <c r="BA634" s="3" t="s">
        <v>1184</v>
      </c>
      <c r="BB634" s="3"/>
      <c r="BC634" s="3"/>
      <c r="BD634" s="3"/>
    </row>
    <row r="635" spans="2:157" ht="12.95" customHeight="1">
      <c r="B635" s="52" t="s">
        <v>461</v>
      </c>
      <c r="C635" s="1348"/>
      <c r="D635" s="1348"/>
      <c r="E635" s="1348"/>
      <c r="F635" s="1348"/>
      <c r="G635" s="1348"/>
      <c r="H635" s="1348"/>
      <c r="I635" s="1348"/>
      <c r="J635" s="1348"/>
      <c r="K635" s="1348"/>
      <c r="L635" s="1348"/>
      <c r="M635" s="1618" t="s">
        <v>1184</v>
      </c>
      <c r="N635" s="1618"/>
      <c r="O635" s="1618"/>
      <c r="P635" s="1618"/>
      <c r="Q635" s="1426"/>
      <c r="R635" s="1427"/>
      <c r="S635" s="1428"/>
      <c r="T635" s="1426"/>
      <c r="U635" s="1427"/>
      <c r="V635" s="1428"/>
      <c r="W635" s="1439"/>
      <c r="X635" s="1440"/>
      <c r="Y635" s="1441"/>
      <c r="Z635" s="1479"/>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3">EZ718*(CP718/$CP$753)</f>
        <v>62.5</v>
      </c>
      <c r="DY635" s="1446"/>
      <c r="DZ635" s="1446"/>
      <c r="EA635" s="1446"/>
      <c r="EB635" s="1446"/>
      <c r="EC635" s="1446" t="e">
        <f t="shared" ref="EC635:EC669" si="4">FE718*(CU718/$CU$753)</f>
        <v>#VALUE!</v>
      </c>
      <c r="ED635" s="1446"/>
      <c r="EE635" s="1446"/>
      <c r="EF635" s="1446"/>
      <c r="EG635" s="1446"/>
      <c r="EH635" s="1446" t="e">
        <f t="shared" ref="EH635:EH669" si="5">FJ718*(CZ718/$CZ$753)</f>
        <v>#VALUE!</v>
      </c>
      <c r="EI635" s="1446"/>
      <c r="EJ635" s="1446"/>
      <c r="EK635" s="1446"/>
      <c r="EL635" s="1446"/>
      <c r="EM635" s="1446" t="e">
        <f t="shared" ref="EM635:EM669" si="6">FO718*(DE718/$DE$753)</f>
        <v>#VALUE!</v>
      </c>
      <c r="EN635" s="1446"/>
      <c r="EO635" s="1446"/>
      <c r="EP635" s="1446"/>
      <c r="EQ635" s="1446"/>
      <c r="ER635" s="1446" t="e">
        <f t="shared" ref="ER635:ER669" si="7">FT718*(DJ718/$DJ$753)</f>
        <v>#VALUE!</v>
      </c>
      <c r="ES635" s="1446"/>
      <c r="ET635" s="1446"/>
      <c r="EU635" s="1446"/>
      <c r="EV635" s="1446"/>
      <c r="EW635" s="1446" t="e">
        <f t="shared" ref="EW635:EW669" si="8">FY718*(DO718/$DO$753)</f>
        <v>#VALUE!</v>
      </c>
      <c r="EX635" s="1446"/>
      <c r="EY635" s="1446"/>
      <c r="EZ635" s="1446"/>
      <c r="FA635" s="1446"/>
    </row>
    <row r="636" spans="2:157" ht="12.95" customHeight="1">
      <c r="B636" s="52" t="s">
        <v>646</v>
      </c>
      <c r="C636" s="1348"/>
      <c r="D636" s="1348"/>
      <c r="E636" s="1348"/>
      <c r="F636" s="1348"/>
      <c r="G636" s="1348"/>
      <c r="H636" s="1348"/>
      <c r="I636" s="1348"/>
      <c r="J636" s="1348"/>
      <c r="K636" s="1348"/>
      <c r="L636" s="1348"/>
      <c r="M636" s="1618" t="s">
        <v>1184</v>
      </c>
      <c r="N636" s="1618"/>
      <c r="O636" s="1618"/>
      <c r="P636" s="1618"/>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f t="shared" si="3"/>
        <v>90.625</v>
      </c>
      <c r="DY636" s="1446"/>
      <c r="DZ636" s="1446"/>
      <c r="EA636" s="1446"/>
      <c r="EB636" s="1446"/>
      <c r="EC636" s="1446" t="e">
        <f t="shared" si="4"/>
        <v>#VALUE!</v>
      </c>
      <c r="ED636" s="1446"/>
      <c r="EE636" s="1446"/>
      <c r="EF636" s="1446"/>
      <c r="EG636" s="1446"/>
      <c r="EH636" s="1446" t="e">
        <f t="shared" si="5"/>
        <v>#VALUE!</v>
      </c>
      <c r="EI636" s="1446"/>
      <c r="EJ636" s="1446"/>
      <c r="EK636" s="1446"/>
      <c r="EL636" s="1446"/>
      <c r="EM636" s="1446" t="e">
        <f t="shared" si="6"/>
        <v>#VALUE!</v>
      </c>
      <c r="EN636" s="1446"/>
      <c r="EO636" s="1446"/>
      <c r="EP636" s="1446"/>
      <c r="EQ636" s="1446"/>
      <c r="ER636" s="1446" t="e">
        <f t="shared" si="7"/>
        <v>#VALUE!</v>
      </c>
      <c r="ES636" s="1446"/>
      <c r="ET636" s="1446"/>
      <c r="EU636" s="1446"/>
      <c r="EV636" s="1446"/>
      <c r="EW636" s="1446" t="e">
        <f t="shared" si="8"/>
        <v>#VALUE!</v>
      </c>
      <c r="EX636" s="1446"/>
      <c r="EY636" s="1446"/>
      <c r="EZ636" s="1446"/>
      <c r="FA636" s="1446"/>
    </row>
    <row r="637" spans="2:157" ht="12.95" customHeight="1">
      <c r="B637" s="52" t="s">
        <v>361</v>
      </c>
      <c r="C637" s="1348"/>
      <c r="D637" s="1348"/>
      <c r="E637" s="1348"/>
      <c r="F637" s="1348"/>
      <c r="G637" s="1348"/>
      <c r="H637" s="1348"/>
      <c r="I637" s="1348"/>
      <c r="J637" s="1348"/>
      <c r="K637" s="1348"/>
      <c r="L637" s="1348"/>
      <c r="M637" s="1618" t="s">
        <v>1184</v>
      </c>
      <c r="N637" s="1618"/>
      <c r="O637" s="1618"/>
      <c r="P637" s="1618"/>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f t="shared" si="3"/>
        <v>146.875</v>
      </c>
      <c r="DY637" s="1446"/>
      <c r="DZ637" s="1446"/>
      <c r="EA637" s="1446"/>
      <c r="EB637" s="1446"/>
      <c r="EC637" s="1446" t="e">
        <f t="shared" si="4"/>
        <v>#VALUE!</v>
      </c>
      <c r="ED637" s="1446"/>
      <c r="EE637" s="1446"/>
      <c r="EF637" s="1446"/>
      <c r="EG637" s="1446"/>
      <c r="EH637" s="1446" t="e">
        <f t="shared" si="5"/>
        <v>#VALUE!</v>
      </c>
      <c r="EI637" s="1446"/>
      <c r="EJ637" s="1446"/>
      <c r="EK637" s="1446"/>
      <c r="EL637" s="1446"/>
      <c r="EM637" s="1446" t="e">
        <f t="shared" si="6"/>
        <v>#VALUE!</v>
      </c>
      <c r="EN637" s="1446"/>
      <c r="EO637" s="1446"/>
      <c r="EP637" s="1446"/>
      <c r="EQ637" s="1446"/>
      <c r="ER637" s="1446" t="e">
        <f t="shared" si="7"/>
        <v>#VALUE!</v>
      </c>
      <c r="ES637" s="1446"/>
      <c r="ET637" s="1446"/>
      <c r="EU637" s="1446"/>
      <c r="EV637" s="1446"/>
      <c r="EW637" s="1446" t="e">
        <f t="shared" si="8"/>
        <v>#VALUE!</v>
      </c>
      <c r="EX637" s="1446"/>
      <c r="EY637" s="1446"/>
      <c r="EZ637" s="1446"/>
      <c r="FA637" s="1446"/>
    </row>
    <row r="638" spans="2:157" ht="12.95" customHeight="1">
      <c r="B638" s="52" t="s">
        <v>362</v>
      </c>
      <c r="C638" s="1348"/>
      <c r="D638" s="1348"/>
      <c r="E638" s="1348"/>
      <c r="F638" s="1348"/>
      <c r="G638" s="1348"/>
      <c r="H638" s="1348"/>
      <c r="I638" s="1348"/>
      <c r="J638" s="1348"/>
      <c r="K638" s="1348"/>
      <c r="L638" s="1348"/>
      <c r="M638" s="1618" t="s">
        <v>1184</v>
      </c>
      <c r="N638" s="1618"/>
      <c r="O638" s="1618"/>
      <c r="P638" s="1618"/>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3"/>
        <v>#VALUE!</v>
      </c>
      <c r="DY638" s="1446"/>
      <c r="DZ638" s="1446"/>
      <c r="EA638" s="1446"/>
      <c r="EB638" s="1446"/>
      <c r="EC638" s="1446" t="e">
        <f t="shared" si="4"/>
        <v>#VALUE!</v>
      </c>
      <c r="ED638" s="1446"/>
      <c r="EE638" s="1446"/>
      <c r="EF638" s="1446"/>
      <c r="EG638" s="1446"/>
      <c r="EH638" s="1446" t="e">
        <f t="shared" si="5"/>
        <v>#VALUE!</v>
      </c>
      <c r="EI638" s="1446"/>
      <c r="EJ638" s="1446"/>
      <c r="EK638" s="1446"/>
      <c r="EL638" s="1446"/>
      <c r="EM638" s="1446" t="e">
        <f t="shared" si="6"/>
        <v>#VALUE!</v>
      </c>
      <c r="EN638" s="1446"/>
      <c r="EO638" s="1446"/>
      <c r="EP638" s="1446"/>
      <c r="EQ638" s="1446"/>
      <c r="ER638" s="1446" t="e">
        <f t="shared" si="7"/>
        <v>#VALUE!</v>
      </c>
      <c r="ES638" s="1446"/>
      <c r="ET638" s="1446"/>
      <c r="EU638" s="1446"/>
      <c r="EV638" s="1446"/>
      <c r="EW638" s="1446" t="e">
        <f t="shared" si="8"/>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5">
        <f>SUM(AO627:AR638)</f>
        <v>48500000</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3"/>
        <v>#VALUE!</v>
      </c>
      <c r="DY639" s="1446"/>
      <c r="DZ639" s="1446"/>
      <c r="EA639" s="1446"/>
      <c r="EB639" s="1446"/>
      <c r="EC639" s="1446" t="e">
        <f t="shared" si="4"/>
        <v>#VALUE!</v>
      </c>
      <c r="ED639" s="1446"/>
      <c r="EE639" s="1446"/>
      <c r="EF639" s="1446"/>
      <c r="EG639" s="1446"/>
      <c r="EH639" s="1446" t="e">
        <f t="shared" si="5"/>
        <v>#VALUE!</v>
      </c>
      <c r="EI639" s="1446"/>
      <c r="EJ639" s="1446"/>
      <c r="EK639" s="1446"/>
      <c r="EL639" s="1446"/>
      <c r="EM639" s="1446" t="e">
        <f t="shared" si="6"/>
        <v>#VALUE!</v>
      </c>
      <c r="EN639" s="1446"/>
      <c r="EO639" s="1446"/>
      <c r="EP639" s="1446"/>
      <c r="EQ639" s="1446"/>
      <c r="ER639" s="1446" t="e">
        <f t="shared" si="7"/>
        <v>#VALUE!</v>
      </c>
      <c r="ES639" s="1446"/>
      <c r="ET639" s="1446"/>
      <c r="EU639" s="1446"/>
      <c r="EV639" s="1446"/>
      <c r="EW639" s="1446" t="e">
        <f t="shared" si="8"/>
        <v>#VALUE!</v>
      </c>
      <c r="EX639" s="1446"/>
      <c r="EY639" s="1446"/>
      <c r="EZ639" s="1446"/>
      <c r="FA639" s="1446"/>
    </row>
    <row r="640" spans="2:157" ht="12.95"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f>33354848-152500</f>
        <v>33202348</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3"/>
        <v>#VALUE!</v>
      </c>
      <c r="DY640" s="1446"/>
      <c r="DZ640" s="1446"/>
      <c r="EA640" s="1446"/>
      <c r="EB640" s="1446"/>
      <c r="EC640" s="1446" t="e">
        <f t="shared" si="4"/>
        <v>#VALUE!</v>
      </c>
      <c r="ED640" s="1446"/>
      <c r="EE640" s="1446"/>
      <c r="EF640" s="1446"/>
      <c r="EG640" s="1446"/>
      <c r="EH640" s="1446" t="e">
        <f t="shared" si="5"/>
        <v>#VALUE!</v>
      </c>
      <c r="EI640" s="1446"/>
      <c r="EJ640" s="1446"/>
      <c r="EK640" s="1446"/>
      <c r="EL640" s="1446"/>
      <c r="EM640" s="1446" t="e">
        <f t="shared" si="6"/>
        <v>#VALUE!</v>
      </c>
      <c r="EN640" s="1446"/>
      <c r="EO640" s="1446"/>
      <c r="EP640" s="1446"/>
      <c r="EQ640" s="1446"/>
      <c r="ER640" s="1446" t="e">
        <f t="shared" si="7"/>
        <v>#VALUE!</v>
      </c>
      <c r="ES640" s="1446"/>
      <c r="ET640" s="1446"/>
      <c r="EU640" s="1446"/>
      <c r="EV640" s="1446"/>
      <c r="EW640" s="1446" t="e">
        <f t="shared" si="8"/>
        <v>#VALUE!</v>
      </c>
      <c r="EX640" s="1446"/>
      <c r="EY640" s="1446"/>
      <c r="EZ640" s="1446"/>
      <c r="FA640" s="1446"/>
    </row>
    <row r="641" spans="1:157" ht="12.95"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81702348</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3"/>
        <v>#VALUE!</v>
      </c>
      <c r="DY641" s="1446"/>
      <c r="DZ641" s="1446"/>
      <c r="EA641" s="1446"/>
      <c r="EB641" s="1446"/>
      <c r="EC641" s="1446" t="e">
        <f t="shared" si="4"/>
        <v>#VALUE!</v>
      </c>
      <c r="ED641" s="1446"/>
      <c r="EE641" s="1446"/>
      <c r="EF641" s="1446"/>
      <c r="EG641" s="1446"/>
      <c r="EH641" s="1446" t="e">
        <f t="shared" si="5"/>
        <v>#VALUE!</v>
      </c>
      <c r="EI641" s="1446"/>
      <c r="EJ641" s="1446"/>
      <c r="EK641" s="1446"/>
      <c r="EL641" s="1446"/>
      <c r="EM641" s="1446" t="e">
        <f t="shared" si="6"/>
        <v>#VALUE!</v>
      </c>
      <c r="EN641" s="1446"/>
      <c r="EO641" s="1446"/>
      <c r="EP641" s="1446"/>
      <c r="EQ641" s="1446"/>
      <c r="ER641" s="1446" t="e">
        <f t="shared" si="7"/>
        <v>#VALUE!</v>
      </c>
      <c r="ES641" s="1446"/>
      <c r="ET641" s="1446"/>
      <c r="EU641" s="1446"/>
      <c r="EV641" s="1446"/>
      <c r="EW641" s="1446" t="e">
        <f t="shared" si="8"/>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3"/>
        <v>#VALUE!</v>
      </c>
      <c r="DY642" s="1446"/>
      <c r="DZ642" s="1446"/>
      <c r="EA642" s="1446"/>
      <c r="EB642" s="1446"/>
      <c r="EC642" s="1446" t="e">
        <f t="shared" si="4"/>
        <v>#VALUE!</v>
      </c>
      <c r="ED642" s="1446"/>
      <c r="EE642" s="1446"/>
      <c r="EF642" s="1446"/>
      <c r="EG642" s="1446"/>
      <c r="EH642" s="1446" t="e">
        <f t="shared" si="5"/>
        <v>#VALUE!</v>
      </c>
      <c r="EI642" s="1446"/>
      <c r="EJ642" s="1446"/>
      <c r="EK642" s="1446"/>
      <c r="EL642" s="1446"/>
      <c r="EM642" s="1446" t="e">
        <f t="shared" si="6"/>
        <v>#VALUE!</v>
      </c>
      <c r="EN642" s="1446"/>
      <c r="EO642" s="1446"/>
      <c r="EP642" s="1446"/>
      <c r="EQ642" s="1446"/>
      <c r="ER642" s="1446" t="e">
        <f t="shared" si="7"/>
        <v>#VALUE!</v>
      </c>
      <c r="ES642" s="1446"/>
      <c r="ET642" s="1446"/>
      <c r="EU642" s="1446"/>
      <c r="EV642" s="1446"/>
      <c r="EW642" s="1446" t="e">
        <f t="shared" si="8"/>
        <v>#VALUE!</v>
      </c>
      <c r="EX642" s="1446"/>
      <c r="EY642" s="1446"/>
      <c r="EZ642" s="1446"/>
      <c r="FA642" s="1446"/>
    </row>
    <row r="643" spans="1:157" ht="12.95" customHeight="1">
      <c r="A643" s="55" t="s">
        <v>112</v>
      </c>
      <c r="B643" t="s">
        <v>463</v>
      </c>
      <c r="G643" s="1359" t="str">
        <f>C627</f>
        <v>HUD 202 Capital Advance (Sponsor Loan)</v>
      </c>
      <c r="H643" s="1359"/>
      <c r="I643" s="1359"/>
      <c r="J643" s="1359"/>
      <c r="K643" s="1359"/>
      <c r="L643" s="1359"/>
      <c r="M643" s="1359"/>
      <c r="N643" s="1359"/>
      <c r="O643" s="1359"/>
      <c r="P643" s="1359"/>
      <c r="Q643" s="1359"/>
      <c r="R643" s="1359"/>
      <c r="S643" s="8"/>
      <c r="T643" s="55" t="s">
        <v>113</v>
      </c>
      <c r="U643" t="s">
        <v>463</v>
      </c>
      <c r="Z643" s="1359" t="str">
        <f>C628</f>
        <v>City of Oakland CDBG (Sponsor Loan)</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3"/>
        <v>#VALUE!</v>
      </c>
      <c r="DY643" s="1446"/>
      <c r="DZ643" s="1446"/>
      <c r="EA643" s="1446"/>
      <c r="EB643" s="1446"/>
      <c r="EC643" s="1446" t="e">
        <f t="shared" si="4"/>
        <v>#VALUE!</v>
      </c>
      <c r="ED643" s="1446"/>
      <c r="EE643" s="1446"/>
      <c r="EF643" s="1446"/>
      <c r="EG643" s="1446"/>
      <c r="EH643" s="1446" t="e">
        <f t="shared" si="5"/>
        <v>#VALUE!</v>
      </c>
      <c r="EI643" s="1446"/>
      <c r="EJ643" s="1446"/>
      <c r="EK643" s="1446"/>
      <c r="EL643" s="1446"/>
      <c r="EM643" s="1446" t="e">
        <f t="shared" si="6"/>
        <v>#VALUE!</v>
      </c>
      <c r="EN643" s="1446"/>
      <c r="EO643" s="1446"/>
      <c r="EP643" s="1446"/>
      <c r="EQ643" s="1446"/>
      <c r="ER643" s="1446" t="e">
        <f t="shared" si="7"/>
        <v>#VALUE!</v>
      </c>
      <c r="ES643" s="1446"/>
      <c r="ET643" s="1446"/>
      <c r="EU643" s="1446"/>
      <c r="EV643" s="1446"/>
      <c r="EW643" s="1446" t="e">
        <f t="shared" si="8"/>
        <v>#VALUE!</v>
      </c>
      <c r="EX643" s="1446"/>
      <c r="EY643" s="1446"/>
      <c r="EZ643" s="1446"/>
      <c r="FA643" s="1446"/>
    </row>
    <row r="644" spans="1:157" ht="12.95" customHeight="1">
      <c r="A644" s="22"/>
      <c r="B644" t="s">
        <v>85</v>
      </c>
      <c r="G644" s="1373" t="s">
        <v>2751</v>
      </c>
      <c r="H644" s="1373"/>
      <c r="I644" s="1373"/>
      <c r="J644" s="1373"/>
      <c r="K644" s="1373"/>
      <c r="L644" s="1373"/>
      <c r="M644" s="1373"/>
      <c r="N644" s="1373"/>
      <c r="O644" s="1373"/>
      <c r="P644" s="1373"/>
      <c r="Q644" s="1373"/>
      <c r="R644" s="1373"/>
      <c r="S644" s="8"/>
      <c r="T644" s="22"/>
      <c r="U644" t="s">
        <v>85</v>
      </c>
      <c r="Z644" s="1373" t="s">
        <v>2716</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3"/>
        <v>#VALUE!</v>
      </c>
      <c r="DY644" s="1446"/>
      <c r="DZ644" s="1446"/>
      <c r="EA644" s="1446"/>
      <c r="EB644" s="1446"/>
      <c r="EC644" s="1446" t="e">
        <f t="shared" si="4"/>
        <v>#VALUE!</v>
      </c>
      <c r="ED644" s="1446"/>
      <c r="EE644" s="1446"/>
      <c r="EF644" s="1446"/>
      <c r="EG644" s="1446"/>
      <c r="EH644" s="1446" t="e">
        <f t="shared" si="5"/>
        <v>#VALUE!</v>
      </c>
      <c r="EI644" s="1446"/>
      <c r="EJ644" s="1446"/>
      <c r="EK644" s="1446"/>
      <c r="EL644" s="1446"/>
      <c r="EM644" s="1446" t="e">
        <f t="shared" si="6"/>
        <v>#VALUE!</v>
      </c>
      <c r="EN644" s="1446"/>
      <c r="EO644" s="1446"/>
      <c r="EP644" s="1446"/>
      <c r="EQ644" s="1446"/>
      <c r="ER644" s="1446" t="e">
        <f t="shared" si="7"/>
        <v>#VALUE!</v>
      </c>
      <c r="ES644" s="1446"/>
      <c r="ET644" s="1446"/>
      <c r="EU644" s="1446"/>
      <c r="EV644" s="1446"/>
      <c r="EW644" s="1446" t="e">
        <f t="shared" si="8"/>
        <v>#VALUE!</v>
      </c>
      <c r="EX644" s="1446"/>
      <c r="EY644" s="1446"/>
      <c r="EZ644" s="1446"/>
      <c r="FA644" s="1446"/>
    </row>
    <row r="645" spans="1:157" ht="12.95" customHeight="1">
      <c r="A645" s="22"/>
      <c r="B645" t="s">
        <v>580</v>
      </c>
      <c r="G645" s="1373" t="s">
        <v>2752</v>
      </c>
      <c r="H645" s="1373"/>
      <c r="I645" s="1373"/>
      <c r="J645" s="1373"/>
      <c r="K645" s="1373"/>
      <c r="L645" s="1373"/>
      <c r="M645" s="1373"/>
      <c r="N645" s="1373"/>
      <c r="O645" s="1373"/>
      <c r="P645" s="1373"/>
      <c r="Q645" s="1373"/>
      <c r="R645" s="1373"/>
      <c r="T645" s="22"/>
      <c r="U645" t="s">
        <v>580</v>
      </c>
      <c r="Z645" s="1349" t="s">
        <v>2640</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3"/>
        <v>#VALUE!</v>
      </c>
      <c r="DY645" s="1446"/>
      <c r="DZ645" s="1446"/>
      <c r="EA645" s="1446"/>
      <c r="EB645" s="1446"/>
      <c r="EC645" s="1446" t="e">
        <f t="shared" si="4"/>
        <v>#VALUE!</v>
      </c>
      <c r="ED645" s="1446"/>
      <c r="EE645" s="1446"/>
      <c r="EF645" s="1446"/>
      <c r="EG645" s="1446"/>
      <c r="EH645" s="1446" t="e">
        <f t="shared" si="5"/>
        <v>#VALUE!</v>
      </c>
      <c r="EI645" s="1446"/>
      <c r="EJ645" s="1446"/>
      <c r="EK645" s="1446"/>
      <c r="EL645" s="1446"/>
      <c r="EM645" s="1446" t="e">
        <f t="shared" si="6"/>
        <v>#VALUE!</v>
      </c>
      <c r="EN645" s="1446"/>
      <c r="EO645" s="1446"/>
      <c r="EP645" s="1446"/>
      <c r="EQ645" s="1446"/>
      <c r="ER645" s="1446" t="e">
        <f t="shared" si="7"/>
        <v>#VALUE!</v>
      </c>
      <c r="ES645" s="1446"/>
      <c r="ET645" s="1446"/>
      <c r="EU645" s="1446"/>
      <c r="EV645" s="1446"/>
      <c r="EW645" s="1446" t="e">
        <f t="shared" si="8"/>
        <v>#VALUE!</v>
      </c>
      <c r="EX645" s="1446"/>
      <c r="EY645" s="1446"/>
      <c r="EZ645" s="1446"/>
      <c r="FA645" s="1446"/>
    </row>
    <row r="646" spans="1:157" ht="12.95" customHeight="1">
      <c r="A646" s="22"/>
      <c r="B646" t="s">
        <v>17</v>
      </c>
      <c r="G646" s="1373" t="s">
        <v>2753</v>
      </c>
      <c r="H646" s="1373"/>
      <c r="I646" s="1373"/>
      <c r="J646" s="1373"/>
      <c r="K646" s="1373"/>
      <c r="L646" s="1373"/>
      <c r="M646" s="1373"/>
      <c r="N646" s="1373"/>
      <c r="O646" s="1373"/>
      <c r="P646" s="1373"/>
      <c r="Q646" s="1373"/>
      <c r="R646" s="1373"/>
      <c r="S646" s="8"/>
      <c r="T646" s="22"/>
      <c r="U646" t="s">
        <v>17</v>
      </c>
      <c r="Z646" s="1349" t="s">
        <v>2717</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3"/>
        <v>#VALUE!</v>
      </c>
      <c r="DY646" s="1446"/>
      <c r="DZ646" s="1446"/>
      <c r="EA646" s="1446"/>
      <c r="EB646" s="1446"/>
      <c r="EC646" s="1446" t="e">
        <f t="shared" si="4"/>
        <v>#VALUE!</v>
      </c>
      <c r="ED646" s="1446"/>
      <c r="EE646" s="1446"/>
      <c r="EF646" s="1446"/>
      <c r="EG646" s="1446"/>
      <c r="EH646" s="1446" t="e">
        <f t="shared" si="5"/>
        <v>#VALUE!</v>
      </c>
      <c r="EI646" s="1446"/>
      <c r="EJ646" s="1446"/>
      <c r="EK646" s="1446"/>
      <c r="EL646" s="1446"/>
      <c r="EM646" s="1446" t="e">
        <f t="shared" si="6"/>
        <v>#VALUE!</v>
      </c>
      <c r="EN646" s="1446"/>
      <c r="EO646" s="1446"/>
      <c r="EP646" s="1446"/>
      <c r="EQ646" s="1446"/>
      <c r="ER646" s="1446" t="e">
        <f t="shared" si="7"/>
        <v>#VALUE!</v>
      </c>
      <c r="ES646" s="1446"/>
      <c r="ET646" s="1446"/>
      <c r="EU646" s="1446"/>
      <c r="EV646" s="1446"/>
      <c r="EW646" s="1446" t="e">
        <f t="shared" si="8"/>
        <v>#VALUE!</v>
      </c>
      <c r="EX646" s="1446"/>
      <c r="EY646" s="1446"/>
      <c r="EZ646" s="1446"/>
      <c r="FA646" s="1446"/>
    </row>
    <row r="647" spans="1:157" ht="12.95" customHeight="1">
      <c r="A647" s="22"/>
      <c r="B647" t="s">
        <v>315</v>
      </c>
      <c r="G647" s="1346" t="s">
        <v>2758</v>
      </c>
      <c r="H647" s="1347"/>
      <c r="I647" s="1347"/>
      <c r="J647" s="1347"/>
      <c r="K647" s="1347"/>
      <c r="L647" s="1347"/>
      <c r="O647" s="33" t="s">
        <v>205</v>
      </c>
      <c r="P647" s="1438"/>
      <c r="Q647" s="1438"/>
      <c r="R647" s="1438"/>
      <c r="S647" s="10"/>
      <c r="T647" s="22"/>
      <c r="U647" t="s">
        <v>315</v>
      </c>
      <c r="Z647" s="1346" t="s">
        <v>2756</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3"/>
        <v>#VALUE!</v>
      </c>
      <c r="DY647" s="1446"/>
      <c r="DZ647" s="1446"/>
      <c r="EA647" s="1446"/>
      <c r="EB647" s="1446"/>
      <c r="EC647" s="1446" t="e">
        <f t="shared" si="4"/>
        <v>#VALUE!</v>
      </c>
      <c r="ED647" s="1446"/>
      <c r="EE647" s="1446"/>
      <c r="EF647" s="1446"/>
      <c r="EG647" s="1446"/>
      <c r="EH647" s="1446" t="e">
        <f t="shared" si="5"/>
        <v>#VALUE!</v>
      </c>
      <c r="EI647" s="1446"/>
      <c r="EJ647" s="1446"/>
      <c r="EK647" s="1446"/>
      <c r="EL647" s="1446"/>
      <c r="EM647" s="1446" t="e">
        <f t="shared" si="6"/>
        <v>#VALUE!</v>
      </c>
      <c r="EN647" s="1446"/>
      <c r="EO647" s="1446"/>
      <c r="EP647" s="1446"/>
      <c r="EQ647" s="1446"/>
      <c r="ER647" s="1446" t="e">
        <f t="shared" si="7"/>
        <v>#VALUE!</v>
      </c>
      <c r="ES647" s="1446"/>
      <c r="ET647" s="1446"/>
      <c r="EU647" s="1446"/>
      <c r="EV647" s="1446"/>
      <c r="EW647" s="1446" t="e">
        <f t="shared" si="8"/>
        <v>#VALUE!</v>
      </c>
      <c r="EX647" s="1446"/>
      <c r="EY647" s="1446"/>
      <c r="EZ647" s="1446"/>
      <c r="FA647" s="1446"/>
    </row>
    <row r="648" spans="1:157" ht="12.95" customHeight="1">
      <c r="A648" s="22"/>
      <c r="B648" t="s">
        <v>18</v>
      </c>
      <c r="H648" s="1373"/>
      <c r="I648" s="1373"/>
      <c r="J648" s="1373"/>
      <c r="K648" s="1373"/>
      <c r="L648" s="1373"/>
      <c r="M648" s="1373"/>
      <c r="N648" s="1373"/>
      <c r="O648" s="1373"/>
      <c r="P648" s="1373"/>
      <c r="Q648" s="1373"/>
      <c r="R648" s="1373"/>
      <c r="S648" s="8"/>
      <c r="T648" s="22"/>
      <c r="U648" t="s">
        <v>18</v>
      </c>
      <c r="AA648" s="1373"/>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3"/>
        <v>#VALUE!</v>
      </c>
      <c r="DY648" s="1446"/>
      <c r="DZ648" s="1446"/>
      <c r="EA648" s="1446"/>
      <c r="EB648" s="1446"/>
      <c r="EC648" s="1446" t="e">
        <f t="shared" si="4"/>
        <v>#VALUE!</v>
      </c>
      <c r="ED648" s="1446"/>
      <c r="EE648" s="1446"/>
      <c r="EF648" s="1446"/>
      <c r="EG648" s="1446"/>
      <c r="EH648" s="1446" t="e">
        <f t="shared" si="5"/>
        <v>#VALUE!</v>
      </c>
      <c r="EI648" s="1446"/>
      <c r="EJ648" s="1446"/>
      <c r="EK648" s="1446"/>
      <c r="EL648" s="1446"/>
      <c r="EM648" s="1446" t="e">
        <f t="shared" si="6"/>
        <v>#VALUE!</v>
      </c>
      <c r="EN648" s="1446"/>
      <c r="EO648" s="1446"/>
      <c r="EP648" s="1446"/>
      <c r="EQ648" s="1446"/>
      <c r="ER648" s="1446" t="e">
        <f t="shared" si="7"/>
        <v>#VALUE!</v>
      </c>
      <c r="ES648" s="1446"/>
      <c r="ET648" s="1446"/>
      <c r="EU648" s="1446"/>
      <c r="EV648" s="1446"/>
      <c r="EW648" s="1446" t="e">
        <f t="shared" si="8"/>
        <v>#VALUE!</v>
      </c>
      <c r="EX648" s="1446"/>
      <c r="EY648" s="1446"/>
      <c r="EZ648" s="1446"/>
      <c r="FA648" s="1446"/>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6" t="e">
        <f t="shared" si="3"/>
        <v>#VALUE!</v>
      </c>
      <c r="DY649" s="1446"/>
      <c r="DZ649" s="1446"/>
      <c r="EA649" s="1446"/>
      <c r="EB649" s="1446"/>
      <c r="EC649" s="1446" t="e">
        <f t="shared" si="4"/>
        <v>#VALUE!</v>
      </c>
      <c r="ED649" s="1446"/>
      <c r="EE649" s="1446"/>
      <c r="EF649" s="1446"/>
      <c r="EG649" s="1446"/>
      <c r="EH649" s="1446" t="e">
        <f t="shared" si="5"/>
        <v>#VALUE!</v>
      </c>
      <c r="EI649" s="1446"/>
      <c r="EJ649" s="1446"/>
      <c r="EK649" s="1446"/>
      <c r="EL649" s="1446"/>
      <c r="EM649" s="1446" t="e">
        <f t="shared" si="6"/>
        <v>#VALUE!</v>
      </c>
      <c r="EN649" s="1446"/>
      <c r="EO649" s="1446"/>
      <c r="EP649" s="1446"/>
      <c r="EQ649" s="1446"/>
      <c r="ER649" s="1446" t="e">
        <f t="shared" si="7"/>
        <v>#VALUE!</v>
      </c>
      <c r="ES649" s="1446"/>
      <c r="ET649" s="1446"/>
      <c r="EU649" s="1446"/>
      <c r="EV649" s="1446"/>
      <c r="EW649" s="1446" t="e">
        <f t="shared" si="8"/>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3"/>
        <v>#VALUE!</v>
      </c>
      <c r="DY650" s="1446"/>
      <c r="DZ650" s="1446"/>
      <c r="EA650" s="1446"/>
      <c r="EB650" s="1446"/>
      <c r="EC650" s="1446" t="e">
        <f t="shared" si="4"/>
        <v>#VALUE!</v>
      </c>
      <c r="ED650" s="1446"/>
      <c r="EE650" s="1446"/>
      <c r="EF650" s="1446"/>
      <c r="EG650" s="1446"/>
      <c r="EH650" s="1446" t="e">
        <f t="shared" si="5"/>
        <v>#VALUE!</v>
      </c>
      <c r="EI650" s="1446"/>
      <c r="EJ650" s="1446"/>
      <c r="EK650" s="1446"/>
      <c r="EL650" s="1446"/>
      <c r="EM650" s="1446" t="e">
        <f t="shared" si="6"/>
        <v>#VALUE!</v>
      </c>
      <c r="EN650" s="1446"/>
      <c r="EO650" s="1446"/>
      <c r="EP650" s="1446"/>
      <c r="EQ650" s="1446"/>
      <c r="ER650" s="1446" t="e">
        <f t="shared" si="7"/>
        <v>#VALUE!</v>
      </c>
      <c r="ES650" s="1446"/>
      <c r="ET650" s="1446"/>
      <c r="EU650" s="1446"/>
      <c r="EV650" s="1446"/>
      <c r="EW650" s="1446" t="e">
        <f t="shared" si="8"/>
        <v>#VALUE!</v>
      </c>
      <c r="EX650" s="1446"/>
      <c r="EY650" s="1446"/>
      <c r="EZ650" s="1446"/>
      <c r="FA650" s="1446"/>
    </row>
    <row r="651" spans="1:157" ht="12.95" customHeight="1">
      <c r="A651" s="55" t="s">
        <v>119</v>
      </c>
      <c r="B651" t="s">
        <v>463</v>
      </c>
      <c r="G651" s="1359" t="str">
        <f>C629</f>
        <v>Ferguson Foundation Grant - Sponsor Loan</v>
      </c>
      <c r="H651" s="1359"/>
      <c r="I651" s="1359"/>
      <c r="J651" s="1359"/>
      <c r="K651" s="1359"/>
      <c r="L651" s="1359"/>
      <c r="M651" s="1359"/>
      <c r="N651" s="1359"/>
      <c r="O651" s="1359"/>
      <c r="P651" s="1359"/>
      <c r="Q651" s="1359"/>
      <c r="R651" s="1359"/>
      <c r="T651" s="55" t="s">
        <v>581</v>
      </c>
      <c r="U651" t="s">
        <v>463</v>
      </c>
      <c r="Z651" s="1359" t="str">
        <f>C630</f>
        <v>GP Loan AHP</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3"/>
        <v>#VALUE!</v>
      </c>
      <c r="DY651" s="1446"/>
      <c r="DZ651" s="1446"/>
      <c r="EA651" s="1446"/>
      <c r="EB651" s="1446"/>
      <c r="EC651" s="1446" t="e">
        <f t="shared" si="4"/>
        <v>#VALUE!</v>
      </c>
      <c r="ED651" s="1446"/>
      <c r="EE651" s="1446"/>
      <c r="EF651" s="1446"/>
      <c r="EG651" s="1446"/>
      <c r="EH651" s="1446" t="e">
        <f t="shared" si="5"/>
        <v>#VALUE!</v>
      </c>
      <c r="EI651" s="1446"/>
      <c r="EJ651" s="1446"/>
      <c r="EK651" s="1446"/>
      <c r="EL651" s="1446"/>
      <c r="EM651" s="1446" t="e">
        <f t="shared" si="6"/>
        <v>#VALUE!</v>
      </c>
      <c r="EN651" s="1446"/>
      <c r="EO651" s="1446"/>
      <c r="EP651" s="1446"/>
      <c r="EQ651" s="1446"/>
      <c r="ER651" s="1446" t="e">
        <f t="shared" si="7"/>
        <v>#VALUE!</v>
      </c>
      <c r="ES651" s="1446"/>
      <c r="ET651" s="1446"/>
      <c r="EU651" s="1446"/>
      <c r="EV651" s="1446"/>
      <c r="EW651" s="1446" t="e">
        <f t="shared" si="8"/>
        <v>#VALUE!</v>
      </c>
      <c r="EX651" s="1446"/>
      <c r="EY651" s="1446"/>
      <c r="EZ651" s="1446"/>
      <c r="FA651" s="1446"/>
    </row>
    <row r="652" spans="1:157" ht="12.95" customHeight="1">
      <c r="A652" s="22"/>
      <c r="B652" t="s">
        <v>85</v>
      </c>
      <c r="G652" s="1373" t="s">
        <v>2715</v>
      </c>
      <c r="H652" s="1373"/>
      <c r="I652" s="1373"/>
      <c r="J652" s="1373"/>
      <c r="K652" s="1373"/>
      <c r="L652" s="1373"/>
      <c r="M652" s="1373"/>
      <c r="N652" s="1373"/>
      <c r="O652" s="1373"/>
      <c r="P652" s="1373"/>
      <c r="Q652" s="1373"/>
      <c r="R652" s="1373"/>
      <c r="T652" s="22"/>
      <c r="U652" t="s">
        <v>85</v>
      </c>
      <c r="Z652" s="1373" t="s">
        <v>2754</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3"/>
        <v>#VALUE!</v>
      </c>
      <c r="DY652" s="1446"/>
      <c r="DZ652" s="1446"/>
      <c r="EA652" s="1446"/>
      <c r="EB652" s="1446"/>
      <c r="EC652" s="1446" t="e">
        <f t="shared" si="4"/>
        <v>#VALUE!</v>
      </c>
      <c r="ED652" s="1446"/>
      <c r="EE652" s="1446"/>
      <c r="EF652" s="1446"/>
      <c r="EG652" s="1446"/>
      <c r="EH652" s="1446" t="e">
        <f t="shared" si="5"/>
        <v>#VALUE!</v>
      </c>
      <c r="EI652" s="1446"/>
      <c r="EJ652" s="1446"/>
      <c r="EK652" s="1446"/>
      <c r="EL652" s="1446"/>
      <c r="EM652" s="1446" t="e">
        <f t="shared" si="6"/>
        <v>#VALUE!</v>
      </c>
      <c r="EN652" s="1446"/>
      <c r="EO652" s="1446"/>
      <c r="EP652" s="1446"/>
      <c r="EQ652" s="1446"/>
      <c r="ER652" s="1446" t="e">
        <f t="shared" si="7"/>
        <v>#VALUE!</v>
      </c>
      <c r="ES652" s="1446"/>
      <c r="ET652" s="1446"/>
      <c r="EU652" s="1446"/>
      <c r="EV652" s="1446"/>
      <c r="EW652" s="1446" t="e">
        <f t="shared" si="8"/>
        <v>#VALUE!</v>
      </c>
      <c r="EX652" s="1446"/>
      <c r="EY652" s="1446"/>
      <c r="EZ652" s="1446"/>
      <c r="FA652" s="1446"/>
    </row>
    <row r="653" spans="1:157" ht="12.95" customHeight="1">
      <c r="A653" s="22"/>
      <c r="B653" t="s">
        <v>580</v>
      </c>
      <c r="G653" s="1349" t="s">
        <v>2637</v>
      </c>
      <c r="H653" s="1349"/>
      <c r="I653" s="1349"/>
      <c r="J653" s="1349"/>
      <c r="K653" s="1349"/>
      <c r="L653" s="1349"/>
      <c r="M653" s="1349"/>
      <c r="N653" s="1349"/>
      <c r="O653" s="1349"/>
      <c r="P653" s="1349"/>
      <c r="Q653" s="1349"/>
      <c r="R653" s="1349"/>
      <c r="T653" s="22"/>
      <c r="U653" t="s">
        <v>580</v>
      </c>
      <c r="Z653" s="1349" t="s">
        <v>2755</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3"/>
        <v>#VALUE!</v>
      </c>
      <c r="DY653" s="1446"/>
      <c r="DZ653" s="1446"/>
      <c r="EA653" s="1446"/>
      <c r="EB653" s="1446"/>
      <c r="EC653" s="1446" t="e">
        <f t="shared" si="4"/>
        <v>#VALUE!</v>
      </c>
      <c r="ED653" s="1446"/>
      <c r="EE653" s="1446"/>
      <c r="EF653" s="1446"/>
      <c r="EG653" s="1446"/>
      <c r="EH653" s="1446" t="e">
        <f t="shared" si="5"/>
        <v>#VALUE!</v>
      </c>
      <c r="EI653" s="1446"/>
      <c r="EJ653" s="1446"/>
      <c r="EK653" s="1446"/>
      <c r="EL653" s="1446"/>
      <c r="EM653" s="1446" t="e">
        <f t="shared" si="6"/>
        <v>#VALUE!</v>
      </c>
      <c r="EN653" s="1446"/>
      <c r="EO653" s="1446"/>
      <c r="EP653" s="1446"/>
      <c r="EQ653" s="1446"/>
      <c r="ER653" s="1446" t="e">
        <f t="shared" si="7"/>
        <v>#VALUE!</v>
      </c>
      <c r="ES653" s="1446"/>
      <c r="ET653" s="1446"/>
      <c r="EU653" s="1446"/>
      <c r="EV653" s="1446"/>
      <c r="EW653" s="1446" t="e">
        <f t="shared" si="8"/>
        <v>#VALUE!</v>
      </c>
      <c r="EX653" s="1446"/>
      <c r="EY653" s="1446"/>
      <c r="EZ653" s="1446"/>
      <c r="FA653" s="1446"/>
    </row>
    <row r="654" spans="1:157" ht="12.95" customHeight="1">
      <c r="A654" s="22"/>
      <c r="B654" t="s">
        <v>17</v>
      </c>
      <c r="G654" s="1349" t="s">
        <v>2632</v>
      </c>
      <c r="H654" s="1349"/>
      <c r="I654" s="1349"/>
      <c r="J654" s="1349"/>
      <c r="K654" s="1349"/>
      <c r="L654" s="1349"/>
      <c r="M654" s="1349"/>
      <c r="N654" s="1349"/>
      <c r="O654" s="1349"/>
      <c r="P654" s="1349"/>
      <c r="Q654" s="1349"/>
      <c r="R654" s="1349"/>
      <c r="T654" s="22"/>
      <c r="U654" t="s">
        <v>17</v>
      </c>
      <c r="Z654" s="1349" t="s">
        <v>2632</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3"/>
        <v>#VALUE!</v>
      </c>
      <c r="DY654" s="1446"/>
      <c r="DZ654" s="1446"/>
      <c r="EA654" s="1446"/>
      <c r="EB654" s="1446"/>
      <c r="EC654" s="1446" t="e">
        <f t="shared" si="4"/>
        <v>#VALUE!</v>
      </c>
      <c r="ED654" s="1446"/>
      <c r="EE654" s="1446"/>
      <c r="EF654" s="1446"/>
      <c r="EG654" s="1446"/>
      <c r="EH654" s="1446" t="e">
        <f t="shared" si="5"/>
        <v>#VALUE!</v>
      </c>
      <c r="EI654" s="1446"/>
      <c r="EJ654" s="1446"/>
      <c r="EK654" s="1446"/>
      <c r="EL654" s="1446"/>
      <c r="EM654" s="1446" t="e">
        <f t="shared" si="6"/>
        <v>#VALUE!</v>
      </c>
      <c r="EN654" s="1446"/>
      <c r="EO654" s="1446"/>
      <c r="EP654" s="1446"/>
      <c r="EQ654" s="1446"/>
      <c r="ER654" s="1446" t="e">
        <f t="shared" si="7"/>
        <v>#VALUE!</v>
      </c>
      <c r="ES654" s="1446"/>
      <c r="ET654" s="1446"/>
      <c r="EU654" s="1446"/>
      <c r="EV654" s="1446"/>
      <c r="EW654" s="1446" t="e">
        <f t="shared" si="8"/>
        <v>#VALUE!</v>
      </c>
      <c r="EX654" s="1446"/>
      <c r="EY654" s="1446"/>
      <c r="EZ654" s="1446"/>
      <c r="FA654" s="1446"/>
    </row>
    <row r="655" spans="1:157" ht="12.95" customHeight="1">
      <c r="A655" s="22"/>
      <c r="B655" t="s">
        <v>315</v>
      </c>
      <c r="G655" s="1346" t="s">
        <v>2627</v>
      </c>
      <c r="H655" s="1347"/>
      <c r="I655" s="1347"/>
      <c r="J655" s="1347"/>
      <c r="K655" s="1347"/>
      <c r="L655" s="1347"/>
      <c r="O655" s="33" t="s">
        <v>205</v>
      </c>
      <c r="P655" s="1438"/>
      <c r="Q655" s="1438"/>
      <c r="R655" s="1438"/>
      <c r="T655" s="22"/>
      <c r="U655" t="s">
        <v>315</v>
      </c>
      <c r="Z655" s="1346" t="s">
        <v>2627</v>
      </c>
      <c r="AA655" s="1347"/>
      <c r="AB655" s="1347"/>
      <c r="AC655" s="1347"/>
      <c r="AD655" s="1347"/>
      <c r="AE655" s="1347"/>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3"/>
        <v>#VALUE!</v>
      </c>
      <c r="DY655" s="1446"/>
      <c r="DZ655" s="1446"/>
      <c r="EA655" s="1446"/>
      <c r="EB655" s="1446"/>
      <c r="EC655" s="1446" t="e">
        <f t="shared" si="4"/>
        <v>#VALUE!</v>
      </c>
      <c r="ED655" s="1446"/>
      <c r="EE655" s="1446"/>
      <c r="EF655" s="1446"/>
      <c r="EG655" s="1446"/>
      <c r="EH655" s="1446" t="e">
        <f t="shared" si="5"/>
        <v>#VALUE!</v>
      </c>
      <c r="EI655" s="1446"/>
      <c r="EJ655" s="1446"/>
      <c r="EK655" s="1446"/>
      <c r="EL655" s="1446"/>
      <c r="EM655" s="1446" t="e">
        <f t="shared" si="6"/>
        <v>#VALUE!</v>
      </c>
      <c r="EN655" s="1446"/>
      <c r="EO655" s="1446"/>
      <c r="EP655" s="1446"/>
      <c r="EQ655" s="1446"/>
      <c r="ER655" s="1446" t="e">
        <f t="shared" si="7"/>
        <v>#VALUE!</v>
      </c>
      <c r="ES655" s="1446"/>
      <c r="ET655" s="1446"/>
      <c r="EU655" s="1446"/>
      <c r="EV655" s="1446"/>
      <c r="EW655" s="1446" t="e">
        <f t="shared" si="8"/>
        <v>#VALUE!</v>
      </c>
      <c r="EX655" s="1446"/>
      <c r="EY655" s="1446"/>
      <c r="EZ655" s="1446"/>
      <c r="FA655" s="1446"/>
    </row>
    <row r="656" spans="1:157" ht="12.95" customHeight="1">
      <c r="A656" s="22"/>
      <c r="B656" t="s">
        <v>18</v>
      </c>
      <c r="H656" s="1372"/>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3"/>
        <v>#VALUE!</v>
      </c>
      <c r="DY656" s="1446"/>
      <c r="DZ656" s="1446"/>
      <c r="EA656" s="1446"/>
      <c r="EB656" s="1446"/>
      <c r="EC656" s="1446" t="e">
        <f t="shared" si="4"/>
        <v>#VALUE!</v>
      </c>
      <c r="ED656" s="1446"/>
      <c r="EE656" s="1446"/>
      <c r="EF656" s="1446"/>
      <c r="EG656" s="1446"/>
      <c r="EH656" s="1446" t="e">
        <f t="shared" si="5"/>
        <v>#VALUE!</v>
      </c>
      <c r="EI656" s="1446"/>
      <c r="EJ656" s="1446"/>
      <c r="EK656" s="1446"/>
      <c r="EL656" s="1446"/>
      <c r="EM656" s="1446" t="e">
        <f t="shared" si="6"/>
        <v>#VALUE!</v>
      </c>
      <c r="EN656" s="1446"/>
      <c r="EO656" s="1446"/>
      <c r="EP656" s="1446"/>
      <c r="EQ656" s="1446"/>
      <c r="ER656" s="1446" t="e">
        <f t="shared" si="7"/>
        <v>#VALUE!</v>
      </c>
      <c r="ES656" s="1446"/>
      <c r="ET656" s="1446"/>
      <c r="EU656" s="1446"/>
      <c r="EV656" s="1446"/>
      <c r="EW656" s="1446" t="e">
        <f t="shared" si="8"/>
        <v>#VALUE!</v>
      </c>
      <c r="EX656" s="1446"/>
      <c r="EY656" s="1446"/>
      <c r="EZ656" s="1446"/>
      <c r="FA656" s="1446"/>
    </row>
    <row r="657" spans="1:157" ht="12.95" customHeight="1">
      <c r="A657" s="22"/>
      <c r="B657" t="s">
        <v>20</v>
      </c>
      <c r="N657" s="1332" t="s">
        <v>545</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6" t="e">
        <f t="shared" si="3"/>
        <v>#VALUE!</v>
      </c>
      <c r="DY657" s="1446"/>
      <c r="DZ657" s="1446"/>
      <c r="EA657" s="1446"/>
      <c r="EB657" s="1446"/>
      <c r="EC657" s="1446" t="e">
        <f t="shared" si="4"/>
        <v>#VALUE!</v>
      </c>
      <c r="ED657" s="1446"/>
      <c r="EE657" s="1446"/>
      <c r="EF657" s="1446"/>
      <c r="EG657" s="1446"/>
      <c r="EH657" s="1446" t="e">
        <f t="shared" si="5"/>
        <v>#VALUE!</v>
      </c>
      <c r="EI657" s="1446"/>
      <c r="EJ657" s="1446"/>
      <c r="EK657" s="1446"/>
      <c r="EL657" s="1446"/>
      <c r="EM657" s="1446" t="e">
        <f t="shared" si="6"/>
        <v>#VALUE!</v>
      </c>
      <c r="EN657" s="1446"/>
      <c r="EO657" s="1446"/>
      <c r="EP657" s="1446"/>
      <c r="EQ657" s="1446"/>
      <c r="ER657" s="1446" t="e">
        <f t="shared" si="7"/>
        <v>#VALUE!</v>
      </c>
      <c r="ES657" s="1446"/>
      <c r="ET657" s="1446"/>
      <c r="EU657" s="1446"/>
      <c r="EV657" s="1446"/>
      <c r="EW657" s="1446" t="e">
        <f t="shared" si="8"/>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3"/>
        <v>#VALUE!</v>
      </c>
      <c r="DY658" s="1446"/>
      <c r="DZ658" s="1446"/>
      <c r="EA658" s="1446"/>
      <c r="EB658" s="1446"/>
      <c r="EC658" s="1446" t="e">
        <f t="shared" si="4"/>
        <v>#VALUE!</v>
      </c>
      <c r="ED658" s="1446"/>
      <c r="EE658" s="1446"/>
      <c r="EF658" s="1446"/>
      <c r="EG658" s="1446"/>
      <c r="EH658" s="1446" t="e">
        <f t="shared" si="5"/>
        <v>#VALUE!</v>
      </c>
      <c r="EI658" s="1446"/>
      <c r="EJ658" s="1446"/>
      <c r="EK658" s="1446"/>
      <c r="EL658" s="1446"/>
      <c r="EM658" s="1446" t="e">
        <f t="shared" si="6"/>
        <v>#VALUE!</v>
      </c>
      <c r="EN658" s="1446"/>
      <c r="EO658" s="1446"/>
      <c r="EP658" s="1446"/>
      <c r="EQ658" s="1446"/>
      <c r="ER658" s="1446" t="e">
        <f t="shared" si="7"/>
        <v>#VALUE!</v>
      </c>
      <c r="ES658" s="1446"/>
      <c r="ET658" s="1446"/>
      <c r="EU658" s="1446"/>
      <c r="EV658" s="1446"/>
      <c r="EW658" s="1446" t="e">
        <f t="shared" si="8"/>
        <v>#VALUE!</v>
      </c>
      <c r="EX658" s="1446"/>
      <c r="EY658" s="1446"/>
      <c r="EZ658" s="1446"/>
      <c r="FA658" s="1446"/>
    </row>
    <row r="659" spans="1:157" ht="12.95" customHeight="1">
      <c r="A659" s="55" t="s">
        <v>763</v>
      </c>
      <c r="B659" t="s">
        <v>463</v>
      </c>
      <c r="G659" s="1359" t="str">
        <f>C631</f>
        <v>City of Oakland Loan</v>
      </c>
      <c r="H659" s="1359"/>
      <c r="I659" s="1359"/>
      <c r="J659" s="1359"/>
      <c r="K659" s="1359"/>
      <c r="L659" s="1359"/>
      <c r="M659" s="1359"/>
      <c r="N659" s="1359"/>
      <c r="O659" s="1359"/>
      <c r="P659" s="1359"/>
      <c r="Q659" s="1359"/>
      <c r="R659" s="1359"/>
      <c r="T659" s="55" t="s">
        <v>584</v>
      </c>
      <c r="U659" t="s">
        <v>463</v>
      </c>
      <c r="Z659" s="1359" t="str">
        <f>C632</f>
        <v>Deferred Developer Fee</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3"/>
        <v>#VALUE!</v>
      </c>
      <c r="DY659" s="1446"/>
      <c r="DZ659" s="1446"/>
      <c r="EA659" s="1446"/>
      <c r="EB659" s="1446"/>
      <c r="EC659" s="1446" t="e">
        <f t="shared" si="4"/>
        <v>#VALUE!</v>
      </c>
      <c r="ED659" s="1446"/>
      <c r="EE659" s="1446"/>
      <c r="EF659" s="1446"/>
      <c r="EG659" s="1446"/>
      <c r="EH659" s="1446" t="e">
        <f t="shared" si="5"/>
        <v>#VALUE!</v>
      </c>
      <c r="EI659" s="1446"/>
      <c r="EJ659" s="1446"/>
      <c r="EK659" s="1446"/>
      <c r="EL659" s="1446"/>
      <c r="EM659" s="1446" t="e">
        <f t="shared" si="6"/>
        <v>#VALUE!</v>
      </c>
      <c r="EN659" s="1446"/>
      <c r="EO659" s="1446"/>
      <c r="EP659" s="1446"/>
      <c r="EQ659" s="1446"/>
      <c r="ER659" s="1446" t="e">
        <f t="shared" si="7"/>
        <v>#VALUE!</v>
      </c>
      <c r="ES659" s="1446"/>
      <c r="ET659" s="1446"/>
      <c r="EU659" s="1446"/>
      <c r="EV659" s="1446"/>
      <c r="EW659" s="1446" t="e">
        <f t="shared" si="8"/>
        <v>#VALUE!</v>
      </c>
      <c r="EX659" s="1446"/>
      <c r="EY659" s="1446"/>
      <c r="EZ659" s="1446"/>
      <c r="FA659" s="1446"/>
    </row>
    <row r="660" spans="1:157" ht="12.95" customHeight="1">
      <c r="A660" s="22"/>
      <c r="B660" t="s">
        <v>85</v>
      </c>
      <c r="G660" s="1373" t="s">
        <v>2716</v>
      </c>
      <c r="H660" s="1373"/>
      <c r="I660" s="1373"/>
      <c r="J660" s="1373"/>
      <c r="K660" s="1373"/>
      <c r="L660" s="1373"/>
      <c r="M660" s="1373"/>
      <c r="N660" s="1373"/>
      <c r="O660" s="1373"/>
      <c r="P660" s="1373"/>
      <c r="Q660" s="1373"/>
      <c r="R660" s="1373"/>
      <c r="T660" s="22"/>
      <c r="U660" t="s">
        <v>85</v>
      </c>
      <c r="Z660" s="1373" t="s">
        <v>2754</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3"/>
        <v>#VALUE!</v>
      </c>
      <c r="DY660" s="1446"/>
      <c r="DZ660" s="1446"/>
      <c r="EA660" s="1446"/>
      <c r="EB660" s="1446"/>
      <c r="EC660" s="1446" t="e">
        <f t="shared" si="4"/>
        <v>#VALUE!</v>
      </c>
      <c r="ED660" s="1446"/>
      <c r="EE660" s="1446"/>
      <c r="EF660" s="1446"/>
      <c r="EG660" s="1446"/>
      <c r="EH660" s="1446" t="e">
        <f t="shared" si="5"/>
        <v>#VALUE!</v>
      </c>
      <c r="EI660" s="1446"/>
      <c r="EJ660" s="1446"/>
      <c r="EK660" s="1446"/>
      <c r="EL660" s="1446"/>
      <c r="EM660" s="1446" t="e">
        <f t="shared" si="6"/>
        <v>#VALUE!</v>
      </c>
      <c r="EN660" s="1446"/>
      <c r="EO660" s="1446"/>
      <c r="EP660" s="1446"/>
      <c r="EQ660" s="1446"/>
      <c r="ER660" s="1446" t="e">
        <f t="shared" si="7"/>
        <v>#VALUE!</v>
      </c>
      <c r="ES660" s="1446"/>
      <c r="ET660" s="1446"/>
      <c r="EU660" s="1446"/>
      <c r="EV660" s="1446"/>
      <c r="EW660" s="1446" t="e">
        <f t="shared" si="8"/>
        <v>#VALUE!</v>
      </c>
      <c r="EX660" s="1446"/>
      <c r="EY660" s="1446"/>
      <c r="EZ660" s="1446"/>
      <c r="FA660" s="1446"/>
    </row>
    <row r="661" spans="1:157" ht="12.95" customHeight="1">
      <c r="A661" s="22"/>
      <c r="B661" t="s">
        <v>580</v>
      </c>
      <c r="G661" s="1373" t="s">
        <v>2640</v>
      </c>
      <c r="H661" s="1373"/>
      <c r="I661" s="1373"/>
      <c r="J661" s="1373"/>
      <c r="K661" s="1373"/>
      <c r="L661" s="1373"/>
      <c r="M661" s="1373"/>
      <c r="N661" s="1373"/>
      <c r="O661" s="1373"/>
      <c r="P661" s="1373"/>
      <c r="Q661" s="1373"/>
      <c r="R661" s="1373"/>
      <c r="T661" s="22"/>
      <c r="U661" t="s">
        <v>580</v>
      </c>
      <c r="Z661" s="1349" t="s">
        <v>2755</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3"/>
        <v>#VALUE!</v>
      </c>
      <c r="DY661" s="1446"/>
      <c r="DZ661" s="1446"/>
      <c r="EA661" s="1446"/>
      <c r="EB661" s="1446"/>
      <c r="EC661" s="1446" t="e">
        <f t="shared" si="4"/>
        <v>#VALUE!</v>
      </c>
      <c r="ED661" s="1446"/>
      <c r="EE661" s="1446"/>
      <c r="EF661" s="1446"/>
      <c r="EG661" s="1446"/>
      <c r="EH661" s="1446" t="e">
        <f t="shared" si="5"/>
        <v>#VALUE!</v>
      </c>
      <c r="EI661" s="1446"/>
      <c r="EJ661" s="1446"/>
      <c r="EK661" s="1446"/>
      <c r="EL661" s="1446"/>
      <c r="EM661" s="1446" t="e">
        <f t="shared" si="6"/>
        <v>#VALUE!</v>
      </c>
      <c r="EN661" s="1446"/>
      <c r="EO661" s="1446"/>
      <c r="EP661" s="1446"/>
      <c r="EQ661" s="1446"/>
      <c r="ER661" s="1446" t="e">
        <f t="shared" si="7"/>
        <v>#VALUE!</v>
      </c>
      <c r="ES661" s="1446"/>
      <c r="ET661" s="1446"/>
      <c r="EU661" s="1446"/>
      <c r="EV661" s="1446"/>
      <c r="EW661" s="1446" t="e">
        <f t="shared" si="8"/>
        <v>#VALUE!</v>
      </c>
      <c r="EX661" s="1446"/>
      <c r="EY661" s="1446"/>
      <c r="EZ661" s="1446"/>
      <c r="FA661" s="1446"/>
    </row>
    <row r="662" spans="1:157" ht="12.95" customHeight="1">
      <c r="A662" s="22"/>
      <c r="B662" t="s">
        <v>17</v>
      </c>
      <c r="G662" s="1373" t="s">
        <v>2717</v>
      </c>
      <c r="H662" s="1373"/>
      <c r="I662" s="1373"/>
      <c r="J662" s="1373"/>
      <c r="K662" s="1373"/>
      <c r="L662" s="1373"/>
      <c r="M662" s="1373"/>
      <c r="N662" s="1373"/>
      <c r="O662" s="1373"/>
      <c r="P662" s="1373"/>
      <c r="Q662" s="1373"/>
      <c r="R662" s="1373"/>
      <c r="T662" s="22"/>
      <c r="U662" t="s">
        <v>17</v>
      </c>
      <c r="Z662" s="1349" t="s">
        <v>2632</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3"/>
        <v>#VALUE!</v>
      </c>
      <c r="DY662" s="1446"/>
      <c r="DZ662" s="1446"/>
      <c r="EA662" s="1446"/>
      <c r="EB662" s="1446"/>
      <c r="EC662" s="1446" t="e">
        <f t="shared" si="4"/>
        <v>#VALUE!</v>
      </c>
      <c r="ED662" s="1446"/>
      <c r="EE662" s="1446"/>
      <c r="EF662" s="1446"/>
      <c r="EG662" s="1446"/>
      <c r="EH662" s="1446" t="e">
        <f t="shared" si="5"/>
        <v>#VALUE!</v>
      </c>
      <c r="EI662" s="1446"/>
      <c r="EJ662" s="1446"/>
      <c r="EK662" s="1446"/>
      <c r="EL662" s="1446"/>
      <c r="EM662" s="1446" t="e">
        <f t="shared" si="6"/>
        <v>#VALUE!</v>
      </c>
      <c r="EN662" s="1446"/>
      <c r="EO662" s="1446"/>
      <c r="EP662" s="1446"/>
      <c r="EQ662" s="1446"/>
      <c r="ER662" s="1446" t="e">
        <f t="shared" si="7"/>
        <v>#VALUE!</v>
      </c>
      <c r="ES662" s="1446"/>
      <c r="ET662" s="1446"/>
      <c r="EU662" s="1446"/>
      <c r="EV662" s="1446"/>
      <c r="EW662" s="1446" t="e">
        <f t="shared" si="8"/>
        <v>#VALUE!</v>
      </c>
      <c r="EX662" s="1446"/>
      <c r="EY662" s="1446"/>
      <c r="EZ662" s="1446"/>
      <c r="FA662" s="1446"/>
    </row>
    <row r="663" spans="1:157" ht="12.95" customHeight="1">
      <c r="A663" s="22"/>
      <c r="B663" t="s">
        <v>315</v>
      </c>
      <c r="G663" s="1346" t="s">
        <v>2756</v>
      </c>
      <c r="H663" s="1347"/>
      <c r="I663" s="1347"/>
      <c r="J663" s="1347"/>
      <c r="K663" s="1347"/>
      <c r="L663" s="1347"/>
      <c r="O663" s="33" t="s">
        <v>205</v>
      </c>
      <c r="P663" s="1438"/>
      <c r="Q663" s="1438"/>
      <c r="R663" s="1438"/>
      <c r="T663" s="22"/>
      <c r="U663" t="s">
        <v>315</v>
      </c>
      <c r="Z663" s="1346" t="s">
        <v>2627</v>
      </c>
      <c r="AA663" s="1347"/>
      <c r="AB663" s="1347"/>
      <c r="AC663" s="1347"/>
      <c r="AD663" s="1347"/>
      <c r="AE663" s="1347"/>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3"/>
        <v>#VALUE!</v>
      </c>
      <c r="DY663" s="1446"/>
      <c r="DZ663" s="1446"/>
      <c r="EA663" s="1446"/>
      <c r="EB663" s="1446"/>
      <c r="EC663" s="1446" t="e">
        <f t="shared" si="4"/>
        <v>#VALUE!</v>
      </c>
      <c r="ED663" s="1446"/>
      <c r="EE663" s="1446"/>
      <c r="EF663" s="1446"/>
      <c r="EG663" s="1446"/>
      <c r="EH663" s="1446" t="e">
        <f t="shared" si="5"/>
        <v>#VALUE!</v>
      </c>
      <c r="EI663" s="1446"/>
      <c r="EJ663" s="1446"/>
      <c r="EK663" s="1446"/>
      <c r="EL663" s="1446"/>
      <c r="EM663" s="1446" t="e">
        <f t="shared" si="6"/>
        <v>#VALUE!</v>
      </c>
      <c r="EN663" s="1446"/>
      <c r="EO663" s="1446"/>
      <c r="EP663" s="1446"/>
      <c r="EQ663" s="1446"/>
      <c r="ER663" s="1446" t="e">
        <f t="shared" si="7"/>
        <v>#VALUE!</v>
      </c>
      <c r="ES663" s="1446"/>
      <c r="ET663" s="1446"/>
      <c r="EU663" s="1446"/>
      <c r="EV663" s="1446"/>
      <c r="EW663" s="1446" t="e">
        <f t="shared" si="8"/>
        <v>#VALUE!</v>
      </c>
      <c r="EX663" s="1446"/>
      <c r="EY663" s="1446"/>
      <c r="EZ663" s="1446"/>
      <c r="FA663" s="1446"/>
    </row>
    <row r="664" spans="1:157" ht="12.95"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3"/>
        <v>#VALUE!</v>
      </c>
      <c r="DY664" s="1446"/>
      <c r="DZ664" s="1446"/>
      <c r="EA664" s="1446"/>
      <c r="EB664" s="1446"/>
      <c r="EC664" s="1446" t="e">
        <f t="shared" si="4"/>
        <v>#VALUE!</v>
      </c>
      <c r="ED664" s="1446"/>
      <c r="EE664" s="1446"/>
      <c r="EF664" s="1446"/>
      <c r="EG664" s="1446"/>
      <c r="EH664" s="1446" t="e">
        <f t="shared" si="5"/>
        <v>#VALUE!</v>
      </c>
      <c r="EI664" s="1446"/>
      <c r="EJ664" s="1446"/>
      <c r="EK664" s="1446"/>
      <c r="EL664" s="1446"/>
      <c r="EM664" s="1446" t="e">
        <f t="shared" si="6"/>
        <v>#VALUE!</v>
      </c>
      <c r="EN664" s="1446"/>
      <c r="EO664" s="1446"/>
      <c r="EP664" s="1446"/>
      <c r="EQ664" s="1446"/>
      <c r="ER664" s="1446" t="e">
        <f t="shared" si="7"/>
        <v>#VALUE!</v>
      </c>
      <c r="ES664" s="1446"/>
      <c r="ET664" s="1446"/>
      <c r="EU664" s="1446"/>
      <c r="EV664" s="1446"/>
      <c r="EW664" s="1446" t="e">
        <f t="shared" si="8"/>
        <v>#VALUE!</v>
      </c>
      <c r="EX664" s="1446"/>
      <c r="EY664" s="1446"/>
      <c r="EZ664" s="1446"/>
      <c r="FA664" s="1446"/>
    </row>
    <row r="665" spans="1:157" ht="12.95"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3"/>
        <v>#VALUE!</v>
      </c>
      <c r="DY665" s="1446"/>
      <c r="DZ665" s="1446"/>
      <c r="EA665" s="1446"/>
      <c r="EB665" s="1446"/>
      <c r="EC665" s="1446" t="e">
        <f t="shared" si="4"/>
        <v>#VALUE!</v>
      </c>
      <c r="ED665" s="1446"/>
      <c r="EE665" s="1446"/>
      <c r="EF665" s="1446"/>
      <c r="EG665" s="1446"/>
      <c r="EH665" s="1446" t="e">
        <f t="shared" si="5"/>
        <v>#VALUE!</v>
      </c>
      <c r="EI665" s="1446"/>
      <c r="EJ665" s="1446"/>
      <c r="EK665" s="1446"/>
      <c r="EL665" s="1446"/>
      <c r="EM665" s="1446" t="e">
        <f t="shared" si="6"/>
        <v>#VALUE!</v>
      </c>
      <c r="EN665" s="1446"/>
      <c r="EO665" s="1446"/>
      <c r="EP665" s="1446"/>
      <c r="EQ665" s="1446"/>
      <c r="ER665" s="1446" t="e">
        <f t="shared" si="7"/>
        <v>#VALUE!</v>
      </c>
      <c r="ES665" s="1446"/>
      <c r="ET665" s="1446"/>
      <c r="EU665" s="1446"/>
      <c r="EV665" s="1446"/>
      <c r="EW665" s="1446" t="e">
        <f t="shared" si="8"/>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3"/>
        <v>#VALUE!</v>
      </c>
      <c r="DY666" s="1446"/>
      <c r="DZ666" s="1446"/>
      <c r="EA666" s="1446"/>
      <c r="EB666" s="1446"/>
      <c r="EC666" s="1446" t="e">
        <f t="shared" si="4"/>
        <v>#VALUE!</v>
      </c>
      <c r="ED666" s="1446"/>
      <c r="EE666" s="1446"/>
      <c r="EF666" s="1446"/>
      <c r="EG666" s="1446"/>
      <c r="EH666" s="1446" t="e">
        <f t="shared" si="5"/>
        <v>#VALUE!</v>
      </c>
      <c r="EI666" s="1446"/>
      <c r="EJ666" s="1446"/>
      <c r="EK666" s="1446"/>
      <c r="EL666" s="1446"/>
      <c r="EM666" s="1446" t="e">
        <f t="shared" si="6"/>
        <v>#VALUE!</v>
      </c>
      <c r="EN666" s="1446"/>
      <c r="EO666" s="1446"/>
      <c r="EP666" s="1446"/>
      <c r="EQ666" s="1446"/>
      <c r="ER666" s="1446" t="e">
        <f t="shared" si="7"/>
        <v>#VALUE!</v>
      </c>
      <c r="ES666" s="1446"/>
      <c r="ET666" s="1446"/>
      <c r="EU666" s="1446"/>
      <c r="EV666" s="1446"/>
      <c r="EW666" s="1446" t="e">
        <f t="shared" si="8"/>
        <v>#VALUE!</v>
      </c>
      <c r="EX666" s="1446"/>
      <c r="EY666" s="1446"/>
      <c r="EZ666" s="1446"/>
      <c r="FA666" s="1446"/>
    </row>
    <row r="667" spans="1:157" ht="12.95" customHeight="1">
      <c r="A667" s="55" t="s">
        <v>455</v>
      </c>
      <c r="B667" t="s">
        <v>463</v>
      </c>
      <c r="G667" s="1359" t="str">
        <f>C633</f>
        <v>Donated Land</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3"/>
        <v>#VALUE!</v>
      </c>
      <c r="DY667" s="1446"/>
      <c r="DZ667" s="1446"/>
      <c r="EA667" s="1446"/>
      <c r="EB667" s="1446"/>
      <c r="EC667" s="1446" t="e">
        <f t="shared" si="4"/>
        <v>#VALUE!</v>
      </c>
      <c r="ED667" s="1446"/>
      <c r="EE667" s="1446"/>
      <c r="EF667" s="1446"/>
      <c r="EG667" s="1446"/>
      <c r="EH667" s="1446" t="e">
        <f t="shared" si="5"/>
        <v>#VALUE!</v>
      </c>
      <c r="EI667" s="1446"/>
      <c r="EJ667" s="1446"/>
      <c r="EK667" s="1446"/>
      <c r="EL667" s="1446"/>
      <c r="EM667" s="1446" t="e">
        <f t="shared" si="6"/>
        <v>#VALUE!</v>
      </c>
      <c r="EN667" s="1446"/>
      <c r="EO667" s="1446"/>
      <c r="EP667" s="1446"/>
      <c r="EQ667" s="1446"/>
      <c r="ER667" s="1446" t="e">
        <f t="shared" si="7"/>
        <v>#VALUE!</v>
      </c>
      <c r="ES667" s="1446"/>
      <c r="ET667" s="1446"/>
      <c r="EU667" s="1446"/>
      <c r="EV667" s="1446"/>
      <c r="EW667" s="1446" t="e">
        <f t="shared" si="8"/>
        <v>#VALUE!</v>
      </c>
      <c r="EX667" s="1446"/>
      <c r="EY667" s="1446"/>
      <c r="EZ667" s="1446"/>
      <c r="FA667" s="1446"/>
    </row>
    <row r="668" spans="1:157" ht="12.95" customHeight="1">
      <c r="A668" s="22"/>
      <c r="B668" t="s">
        <v>85</v>
      </c>
      <c r="G668" s="1373" t="s">
        <v>2754</v>
      </c>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3"/>
        <v>#VALUE!</v>
      </c>
      <c r="DY668" s="1446"/>
      <c r="DZ668" s="1446"/>
      <c r="EA668" s="1446"/>
      <c r="EB668" s="1446"/>
      <c r="EC668" s="1446" t="e">
        <f t="shared" si="4"/>
        <v>#VALUE!</v>
      </c>
      <c r="ED668" s="1446"/>
      <c r="EE668" s="1446"/>
      <c r="EF668" s="1446"/>
      <c r="EG668" s="1446"/>
      <c r="EH668" s="1446" t="e">
        <f t="shared" si="5"/>
        <v>#VALUE!</v>
      </c>
      <c r="EI668" s="1446"/>
      <c r="EJ668" s="1446"/>
      <c r="EK668" s="1446"/>
      <c r="EL668" s="1446"/>
      <c r="EM668" s="1446" t="e">
        <f t="shared" si="6"/>
        <v>#VALUE!</v>
      </c>
      <c r="EN668" s="1446"/>
      <c r="EO668" s="1446"/>
      <c r="EP668" s="1446"/>
      <c r="EQ668" s="1446"/>
      <c r="ER668" s="1446" t="e">
        <f t="shared" si="7"/>
        <v>#VALUE!</v>
      </c>
      <c r="ES668" s="1446"/>
      <c r="ET668" s="1446"/>
      <c r="EU668" s="1446"/>
      <c r="EV668" s="1446"/>
      <c r="EW668" s="1446" t="e">
        <f t="shared" si="8"/>
        <v>#VALUE!</v>
      </c>
      <c r="EX668" s="1446"/>
      <c r="EY668" s="1446"/>
      <c r="EZ668" s="1446"/>
      <c r="FA668" s="1446"/>
    </row>
    <row r="669" spans="1:157" ht="12.95" customHeight="1">
      <c r="A669" s="22"/>
      <c r="B669" t="s">
        <v>580</v>
      </c>
      <c r="G669" s="1373" t="s">
        <v>2755</v>
      </c>
      <c r="H669" s="1373"/>
      <c r="I669" s="1373"/>
      <c r="J669" s="1373"/>
      <c r="K669" s="1373"/>
      <c r="L669" s="1373"/>
      <c r="M669" s="1373"/>
      <c r="N669" s="1373"/>
      <c r="O669" s="1373"/>
      <c r="P669" s="1373"/>
      <c r="Q669" s="1373"/>
      <c r="R669" s="1373"/>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3"/>
        <v>#VALUE!</v>
      </c>
      <c r="DY669" s="1446"/>
      <c r="DZ669" s="1446"/>
      <c r="EA669" s="1446"/>
      <c r="EB669" s="1446"/>
      <c r="EC669" s="1446" t="e">
        <f t="shared" si="4"/>
        <v>#VALUE!</v>
      </c>
      <c r="ED669" s="1446"/>
      <c r="EE669" s="1446"/>
      <c r="EF669" s="1446"/>
      <c r="EG669" s="1446"/>
      <c r="EH669" s="1446" t="e">
        <f t="shared" si="5"/>
        <v>#VALUE!</v>
      </c>
      <c r="EI669" s="1446"/>
      <c r="EJ669" s="1446"/>
      <c r="EK669" s="1446"/>
      <c r="EL669" s="1446"/>
      <c r="EM669" s="1446" t="e">
        <f t="shared" si="6"/>
        <v>#VALUE!</v>
      </c>
      <c r="EN669" s="1446"/>
      <c r="EO669" s="1446"/>
      <c r="EP669" s="1446"/>
      <c r="EQ669" s="1446"/>
      <c r="ER669" s="1446" t="e">
        <f t="shared" si="7"/>
        <v>#VALUE!</v>
      </c>
      <c r="ES669" s="1446"/>
      <c r="ET669" s="1446"/>
      <c r="EU669" s="1446"/>
      <c r="EV669" s="1446"/>
      <c r="EW669" s="1446" t="e">
        <f t="shared" si="8"/>
        <v>#VALUE!</v>
      </c>
      <c r="EX669" s="1446"/>
      <c r="EY669" s="1446"/>
      <c r="EZ669" s="1446"/>
      <c r="FA669" s="1446"/>
    </row>
    <row r="670" spans="1:157" ht="12.95" customHeight="1">
      <c r="A670" s="22"/>
      <c r="B670" t="s">
        <v>17</v>
      </c>
      <c r="G670" s="1373" t="s">
        <v>2632</v>
      </c>
      <c r="H670" s="1373"/>
      <c r="I670" s="1373"/>
      <c r="J670" s="1373"/>
      <c r="K670" s="1373"/>
      <c r="L670" s="1373"/>
      <c r="M670" s="1373"/>
      <c r="N670" s="1373"/>
      <c r="O670" s="1373"/>
      <c r="P670" s="1373"/>
      <c r="Q670" s="1373"/>
      <c r="R670" s="1373"/>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300</v>
      </c>
      <c r="DY670" s="1446"/>
      <c r="DZ670" s="1446"/>
      <c r="EA670" s="1446"/>
      <c r="EB670" s="1446"/>
      <c r="EC670" s="1446">
        <f>SUMIF(EC635:EG669,"&gt;0")</f>
        <v>0</v>
      </c>
      <c r="ED670" s="1446"/>
      <c r="EE670" s="1446"/>
      <c r="EF670" s="1446"/>
      <c r="EG670" s="1446"/>
      <c r="EH670" s="1446">
        <f>SUMIF(EH635:EL669,"&gt;0")</f>
        <v>0</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315</v>
      </c>
      <c r="G671" s="1346" t="s">
        <v>2627</v>
      </c>
      <c r="H671" s="1347"/>
      <c r="I671" s="1347"/>
      <c r="J671" s="1347"/>
      <c r="K671" s="1347"/>
      <c r="L671" s="1347"/>
      <c r="O671" s="33" t="s">
        <v>205</v>
      </c>
      <c r="P671" s="1438"/>
      <c r="Q671" s="1438"/>
      <c r="R671" s="1438"/>
      <c r="T671" s="22"/>
      <c r="U671" t="s">
        <v>315</v>
      </c>
      <c r="Z671" s="1347"/>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545</v>
      </c>
      <c r="O673" s="1332"/>
      <c r="T673" s="22"/>
      <c r="U673" t="s">
        <v>20</v>
      </c>
      <c r="AG673" s="1332" t="s">
        <v>669</v>
      </c>
      <c r="AH673" s="1332"/>
      <c r="AZ673" s="3"/>
    </row>
    <row r="674" spans="1:52" ht="12.95" customHeight="1">
      <c r="A674" s="22"/>
      <c r="T674" s="22"/>
      <c r="AZ674" s="3"/>
    </row>
    <row r="675" spans="1:52" ht="12.9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580</v>
      </c>
      <c r="G677" s="1373"/>
      <c r="H677" s="1373"/>
      <c r="I677" s="1373"/>
      <c r="J677" s="1373"/>
      <c r="K677" s="1373"/>
      <c r="L677" s="1373"/>
      <c r="M677" s="1373"/>
      <c r="N677" s="1373"/>
      <c r="O677" s="1373"/>
      <c r="P677" s="1373"/>
      <c r="Q677" s="1373"/>
      <c r="R677" s="1373"/>
      <c r="T677" s="22"/>
      <c r="U677" t="s">
        <v>580</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580</v>
      </c>
      <c r="G685" s="1373"/>
      <c r="H685" s="1373"/>
      <c r="I685" s="1373"/>
      <c r="J685" s="1373"/>
      <c r="K685" s="1373"/>
      <c r="L685" s="1373"/>
      <c r="M685" s="1373"/>
      <c r="N685" s="1373"/>
      <c r="O685" s="1373"/>
      <c r="P685" s="1373"/>
      <c r="Q685" s="1373"/>
      <c r="R685" s="1373"/>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2.95"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669</v>
      </c>
      <c r="AF694" s="1332"/>
      <c r="AZ694" s="3"/>
    </row>
    <row r="695" spans="1:67" ht="12.95" customHeight="1">
      <c r="B695" s="135"/>
      <c r="C695" s="135"/>
      <c r="D695" s="136" t="s">
        <v>920</v>
      </c>
      <c r="E695" s="135"/>
      <c r="F695" s="135"/>
      <c r="G695" s="135"/>
      <c r="H695" s="135"/>
      <c r="AE695" s="1693"/>
      <c r="AF695" s="1693"/>
      <c r="AG695" s="1693"/>
      <c r="AH695" s="1693"/>
      <c r="AI695" s="1693"/>
    </row>
    <row r="696" spans="1:67" ht="12.95" customHeight="1">
      <c r="B696" s="135"/>
      <c r="C696" s="135"/>
      <c r="D696" s="317" t="s">
        <v>983</v>
      </c>
      <c r="E696" s="135"/>
      <c r="F696" s="135"/>
      <c r="G696" s="135"/>
      <c r="H696" s="135"/>
      <c r="AE696" s="1704"/>
      <c r="AF696" s="1704"/>
      <c r="AG696" s="1704"/>
      <c r="AH696" s="1704"/>
      <c r="AI696" s="1704"/>
    </row>
    <row r="697" spans="1:67" ht="12.95" customHeight="1">
      <c r="B697" s="135"/>
      <c r="C697" s="135"/>
    </row>
    <row r="698" spans="1:67" ht="12.95" customHeight="1">
      <c r="B698" s="135"/>
      <c r="C698" s="135"/>
      <c r="D698" s="136" t="s">
        <v>816</v>
      </c>
      <c r="E698" s="135"/>
      <c r="F698" s="135"/>
      <c r="G698" s="135"/>
      <c r="H698" s="135"/>
      <c r="AE698" s="1693">
        <v>45901</v>
      </c>
      <c r="AF698" s="1693"/>
      <c r="AG698" s="1693"/>
      <c r="AH698" s="1693"/>
      <c r="AI698" s="1693"/>
    </row>
    <row r="699" spans="1:67" ht="12.95" customHeight="1">
      <c r="B699" s="135"/>
      <c r="C699" s="135"/>
      <c r="D699" s="136" t="s">
        <v>435</v>
      </c>
      <c r="E699" s="135"/>
      <c r="F699" s="135"/>
      <c r="G699" s="135"/>
      <c r="H699" s="135"/>
      <c r="AE699" s="1663">
        <f>AM554/'Sources and Basis Breakdown'!E107</f>
        <v>0.54455528802468911</v>
      </c>
      <c r="AF699" s="1663"/>
      <c r="AG699" s="1663"/>
      <c r="AH699" s="1663"/>
      <c r="AI699" s="1663"/>
    </row>
    <row r="700" spans="1:67" ht="12.95" customHeight="1">
      <c r="B700" s="135"/>
      <c r="C700" s="135"/>
      <c r="D700" s="136" t="s">
        <v>436</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388</v>
      </c>
      <c r="C714" s="1364"/>
      <c r="D714" s="1364"/>
      <c r="E714" s="1364"/>
      <c r="F714" s="1365"/>
      <c r="G714" s="1363" t="s">
        <v>284</v>
      </c>
      <c r="H714" s="1364"/>
      <c r="I714" s="1364"/>
      <c r="J714" s="1365"/>
      <c r="K714" s="1721" t="s">
        <v>1679</v>
      </c>
      <c r="L714" s="1722"/>
      <c r="M714" s="1722"/>
      <c r="N714" s="1723"/>
      <c r="O714" s="1363" t="s">
        <v>447</v>
      </c>
      <c r="P714" s="1364"/>
      <c r="Q714" s="1364"/>
      <c r="R714" s="1364"/>
      <c r="S714" s="1365"/>
      <c r="T714" s="1661" t="s">
        <v>1950</v>
      </c>
      <c r="U714" s="1364"/>
      <c r="V714" s="1364"/>
      <c r="W714" s="1365"/>
      <c r="X714" s="1661" t="s">
        <v>1952</v>
      </c>
      <c r="Y714" s="1364"/>
      <c r="Z714" s="1364"/>
      <c r="AA714" s="1364"/>
      <c r="AB714" s="1365"/>
      <c r="AC714" s="1661" t="s">
        <v>1951</v>
      </c>
      <c r="AD714" s="1364"/>
      <c r="AE714" s="1364"/>
      <c r="AF714" s="1364"/>
      <c r="AG714" s="1365"/>
      <c r="AH714" s="1661" t="s">
        <v>1953</v>
      </c>
      <c r="AI714" s="1364"/>
      <c r="AJ714" s="1365"/>
      <c r="AK714" s="1661"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4"/>
      <c r="L715" s="1725"/>
      <c r="M715" s="1725"/>
      <c r="N715" s="1726"/>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4"/>
      <c r="L716" s="1725"/>
      <c r="M716" s="1725"/>
      <c r="N716" s="1726"/>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4"/>
      <c r="L717" s="1725"/>
      <c r="M717" s="1725"/>
      <c r="N717" s="1726"/>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8" t="s">
        <v>633</v>
      </c>
      <c r="CQ717" s="1389"/>
      <c r="CR717" s="1389"/>
      <c r="CS717" s="1389"/>
      <c r="CT717" s="1390"/>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2.95" customHeight="1">
      <c r="A718" s="4"/>
      <c r="B718" s="1337" t="s">
        <v>323</v>
      </c>
      <c r="C718" s="1338"/>
      <c r="D718" s="1338"/>
      <c r="E718" s="1338"/>
      <c r="F718" s="1339"/>
      <c r="G718" s="1350">
        <v>20</v>
      </c>
      <c r="H718" s="1351"/>
      <c r="I718" s="1351"/>
      <c r="J718" s="1352"/>
      <c r="K718" s="1343">
        <v>305</v>
      </c>
      <c r="L718" s="1344"/>
      <c r="M718" s="1344"/>
      <c r="N718" s="1345"/>
      <c r="O718" s="1340">
        <v>300</v>
      </c>
      <c r="P718" s="1341"/>
      <c r="Q718" s="1341"/>
      <c r="R718" s="1341"/>
      <c r="S718" s="1342"/>
      <c r="T718" s="1340">
        <v>74</v>
      </c>
      <c r="U718" s="1341"/>
      <c r="V718" s="1341"/>
      <c r="W718" s="1342"/>
      <c r="X718" s="1353">
        <f t="shared" ref="X718:X741" si="9">O718+T718</f>
        <v>374</v>
      </c>
      <c r="Y718" s="1354"/>
      <c r="Z718" s="1354"/>
      <c r="AA718" s="1354"/>
      <c r="AB718" s="1355"/>
      <c r="AC718" s="1360">
        <v>0.3</v>
      </c>
      <c r="AD718" s="1361"/>
      <c r="AE718" s="1361"/>
      <c r="AF718" s="1361"/>
      <c r="AG718" s="1362"/>
      <c r="AH718" s="1356">
        <f>IF($AC718&gt;0,($X718/$AZ718), "")</f>
        <v>0.13376251788268956</v>
      </c>
      <c r="AI718" s="1357"/>
      <c r="AJ718" s="1358"/>
      <c r="AK718" s="1337" t="s">
        <v>2100</v>
      </c>
      <c r="AL718" s="1338"/>
      <c r="AM718" s="1338"/>
      <c r="AN718" s="1338"/>
      <c r="AO718" s="1339"/>
      <c r="AP718" s="3"/>
      <c r="AQ718" s="3"/>
      <c r="AR718" s="3"/>
      <c r="AS718" s="3"/>
      <c r="AZ718" s="118">
        <f t="shared" ref="AZ718:AZ752" si="10">IF($G718=0,"N/A",VLOOKUP($T$189,TC_Rent,(MATCH($B718,bedrooms,FALSE)),FALSE))</f>
        <v>2796</v>
      </c>
      <c r="BA718" s="3"/>
      <c r="BB718" s="3"/>
      <c r="BC718" s="3"/>
      <c r="BD718" s="3"/>
      <c r="BE718" s="204"/>
      <c r="BF718" s="293">
        <f t="shared" ref="BF718:BF752" si="11">G718</f>
        <v>20</v>
      </c>
      <c r="BG718" s="297">
        <f t="shared" ref="BG718:BG752" si="12">IF($BF$753=0,0,BF718/$BF$753)</f>
        <v>0.20833333333333334</v>
      </c>
      <c r="BH718" s="298">
        <f t="shared" ref="BH718:BH752" si="13">IF(BG718=0,"",BG718*AC718)</f>
        <v>6.25E-2</v>
      </c>
      <c r="BI718" s="3"/>
      <c r="BJ718" s="3"/>
      <c r="BK718" s="3"/>
      <c r="BL718" s="3"/>
      <c r="BM718" s="3"/>
      <c r="BN718" s="3"/>
      <c r="BS718" s="293">
        <f t="shared" ref="BS718:BS752" si="14">G718</f>
        <v>20</v>
      </c>
      <c r="BT718" s="297">
        <f t="shared" ref="BT718:BT752" si="15">IF($BS$753=0,0,BS718/$BS$753)</f>
        <v>0.20833333333333334</v>
      </c>
      <c r="BU718" s="298">
        <f t="shared" ref="BU718:BU752" si="16">IF(BT718=0,"",BT718*AH718)</f>
        <v>2.7867191225560327E-2</v>
      </c>
      <c r="CC718" s="3"/>
      <c r="CD718" s="3"/>
      <c r="CE718" s="3"/>
      <c r="CF718" s="3"/>
      <c r="CG718" s="1464">
        <f>IF(AND(AC718&lt;=0.5,AC718&gt;=0.36),1,0)</f>
        <v>0</v>
      </c>
      <c r="CH718" s="1465"/>
      <c r="CI718" s="1470">
        <f>IF(CG718=1,G718,0)</f>
        <v>0</v>
      </c>
      <c r="CJ718" s="1471"/>
      <c r="CK718" s="1464">
        <f t="shared" ref="CK718:CK752" si="17">IF(AND(AC718&lt;=0.35,AC718&gt;0),1,0)</f>
        <v>1</v>
      </c>
      <c r="CL718" s="1465"/>
      <c r="CM718" s="1470">
        <f t="shared" ref="CM718:CM752" si="18">IF(CK718=1,G718,0)</f>
        <v>20</v>
      </c>
      <c r="CN718" s="1471"/>
      <c r="CO718" s="3"/>
      <c r="CP718" s="1459">
        <f t="shared" ref="CP718:CP752" si="19">IF(B718="SRO/Studio",G718,0)</f>
        <v>20</v>
      </c>
      <c r="CQ718" s="1460"/>
      <c r="CR718" s="1460"/>
      <c r="CS718" s="1460"/>
      <c r="CT718" s="1461"/>
      <c r="CU718" s="1444">
        <f t="shared" ref="CU718:CU752" si="20">IF(B718="1 Bedroom",G718,0)</f>
        <v>0</v>
      </c>
      <c r="CV718" s="1444"/>
      <c r="CW718" s="1444"/>
      <c r="CX718" s="1444"/>
      <c r="CY718" s="1444"/>
      <c r="CZ718" s="1444">
        <f t="shared" ref="CZ718:CZ752" si="21">IF(B718="2 Bedrooms",G718,0)</f>
        <v>0</v>
      </c>
      <c r="DA718" s="1444"/>
      <c r="DB718" s="1444"/>
      <c r="DC718" s="1444"/>
      <c r="DD718" s="1444"/>
      <c r="DE718" s="1444">
        <f t="shared" ref="DE718:DE752" si="22">IF(B718="3 Bedrooms",G718,0)</f>
        <v>0</v>
      </c>
      <c r="DF718" s="1444"/>
      <c r="DG718" s="1444"/>
      <c r="DH718" s="1444"/>
      <c r="DI718" s="1444"/>
      <c r="DJ718" s="1444">
        <f t="shared" ref="DJ718:DJ752" si="23">IF(B718="4 Bedrooms",G718,0)</f>
        <v>0</v>
      </c>
      <c r="DK718" s="1444"/>
      <c r="DL718" s="1444"/>
      <c r="DM718" s="1444"/>
      <c r="DN718" s="1444"/>
      <c r="DO718" s="1444">
        <f t="shared" ref="DO718:DO752" si="24">IF(B718="5 Bedrooms",G718,0)</f>
        <v>0</v>
      </c>
      <c r="DP718" s="1444"/>
      <c r="DQ718" s="1444"/>
      <c r="DR718" s="1444"/>
      <c r="DS718" s="1444"/>
      <c r="DT718" s="6"/>
      <c r="DU718" s="1445">
        <f t="shared" ref="DU718:DU752" si="25">IF(AND(B718="SRO/Studio",AC718&lt;=0.3),G718,0)</f>
        <v>20</v>
      </c>
      <c r="DV718" s="1445"/>
      <c r="DW718" s="1445"/>
      <c r="DX718" s="1445"/>
      <c r="DY718" s="1445"/>
      <c r="DZ718" s="1445">
        <f t="shared" ref="DZ718:DZ752" si="26">IF(AND(B718="1 Bedroom",AC718&lt;=0.3),G718,0)</f>
        <v>0</v>
      </c>
      <c r="EA718" s="1445"/>
      <c r="EB718" s="1445"/>
      <c r="EC718" s="1445"/>
      <c r="ED718" s="1445"/>
      <c r="EE718" s="1445">
        <f t="shared" ref="EE718:EE752" si="27">IF(AND(B718="2 Bedrooms",AC718&lt;=0.3),G718,0)</f>
        <v>0</v>
      </c>
      <c r="EF718" s="1445"/>
      <c r="EG718" s="1445"/>
      <c r="EH718" s="1445"/>
      <c r="EI718" s="1445"/>
      <c r="EJ718" s="1445">
        <f t="shared" ref="EJ718:EJ752" si="28">IF(AND(B718="3 Bedrooms",AC718&lt;=0.3),G718,0)</f>
        <v>0</v>
      </c>
      <c r="EK718" s="1445"/>
      <c r="EL718" s="1445"/>
      <c r="EM718" s="1445"/>
      <c r="EN718" s="1445"/>
      <c r="EO718" s="1445">
        <f t="shared" ref="EO718:EO752" si="29">IF(AND(B718="4 Bedrooms",AC718&lt;=0.3),G718,0)</f>
        <v>0</v>
      </c>
      <c r="EP718" s="1445"/>
      <c r="EQ718" s="1445"/>
      <c r="ER718" s="1445"/>
      <c r="ES718" s="1445"/>
      <c r="ET718" s="1445">
        <f t="shared" ref="ET718:ET752" si="30">IF(AND(B718="5 Bedrooms",AC718&lt;=0.3),G718,0)</f>
        <v>0</v>
      </c>
      <c r="EU718" s="1445"/>
      <c r="EV718" s="1445"/>
      <c r="EW718" s="1445"/>
      <c r="EX718" s="1445"/>
      <c r="EY718" s="4"/>
      <c r="EZ718" s="1464">
        <f t="shared" ref="EZ718:EZ752" si="31">IF(CP718&gt;0,O718,"")</f>
        <v>300</v>
      </c>
      <c r="FA718" s="1466"/>
      <c r="FB718" s="1466"/>
      <c r="FC718" s="1466"/>
      <c r="FD718" s="1465"/>
      <c r="FE718" s="1464" t="str">
        <f t="shared" ref="FE718:FE752" si="32">IF(CU718&gt;0,O718,"")</f>
        <v/>
      </c>
      <c r="FF718" s="1466"/>
      <c r="FG718" s="1466"/>
      <c r="FH718" s="1466"/>
      <c r="FI718" s="1465"/>
      <c r="FJ718" s="1464" t="str">
        <f t="shared" ref="FJ718:FJ752" si="33">IF(CZ718&gt;0,O718,"")</f>
        <v/>
      </c>
      <c r="FK718" s="1466"/>
      <c r="FL718" s="1466"/>
      <c r="FM718" s="1466"/>
      <c r="FN718" s="1465"/>
      <c r="FO718" s="1464" t="str">
        <f t="shared" ref="FO718:FO752" si="34">IF(DE718&gt;0,O718,"")</f>
        <v/>
      </c>
      <c r="FP718" s="1466"/>
      <c r="FQ718" s="1466"/>
      <c r="FR718" s="1466"/>
      <c r="FS718" s="1465"/>
      <c r="FT718" s="1464" t="str">
        <f t="shared" ref="FT718:FT752" si="35">IF(DJ718&gt;0,O718,"")</f>
        <v/>
      </c>
      <c r="FU718" s="1466"/>
      <c r="FV718" s="1466"/>
      <c r="FW718" s="1466"/>
      <c r="FX718" s="1465"/>
      <c r="FY718" s="1464" t="str">
        <f t="shared" ref="FY718:FY752" si="36">IF(DO718&gt;0,O718,"")</f>
        <v/>
      </c>
      <c r="FZ718" s="1466"/>
      <c r="GA718" s="1466"/>
      <c r="GB718" s="1466"/>
      <c r="GC718" s="1465"/>
    </row>
    <row r="719" spans="1:185" ht="12.95" customHeight="1">
      <c r="A719" s="4"/>
      <c r="B719" s="1337" t="s">
        <v>323</v>
      </c>
      <c r="C719" s="1338"/>
      <c r="D719" s="1338"/>
      <c r="E719" s="1338"/>
      <c r="F719" s="1339"/>
      <c r="G719" s="1350">
        <v>29</v>
      </c>
      <c r="H719" s="1351"/>
      <c r="I719" s="1351"/>
      <c r="J719" s="1352"/>
      <c r="K719" s="1343">
        <v>305</v>
      </c>
      <c r="L719" s="1344"/>
      <c r="M719" s="1344"/>
      <c r="N719" s="1345"/>
      <c r="O719" s="1340">
        <v>300</v>
      </c>
      <c r="P719" s="1341"/>
      <c r="Q719" s="1341"/>
      <c r="R719" s="1341"/>
      <c r="S719" s="1342"/>
      <c r="T719" s="1340">
        <v>74</v>
      </c>
      <c r="U719" s="1341"/>
      <c r="V719" s="1341"/>
      <c r="W719" s="1342"/>
      <c r="X719" s="1353">
        <f t="shared" si="9"/>
        <v>374</v>
      </c>
      <c r="Y719" s="1354"/>
      <c r="Z719" s="1354"/>
      <c r="AA719" s="1354"/>
      <c r="AB719" s="1355"/>
      <c r="AC719" s="1360">
        <v>0.3</v>
      </c>
      <c r="AD719" s="1361"/>
      <c r="AE719" s="1361"/>
      <c r="AF719" s="1361"/>
      <c r="AG719" s="1362"/>
      <c r="AH719" s="1356">
        <f t="shared" ref="AH719:AH752" si="37">IF($AC719&gt;0,($X719/$AZ719), "")</f>
        <v>0.13376251788268956</v>
      </c>
      <c r="AI719" s="1357"/>
      <c r="AJ719" s="1358"/>
      <c r="AK719" s="1337" t="s">
        <v>591</v>
      </c>
      <c r="AL719" s="1338"/>
      <c r="AM719" s="1338"/>
      <c r="AN719" s="1338"/>
      <c r="AO719" s="1339"/>
      <c r="AP719" s="3"/>
      <c r="AQ719" s="3"/>
      <c r="AR719" s="3"/>
      <c r="AS719" s="3"/>
      <c r="AZ719" s="118">
        <f t="shared" si="10"/>
        <v>2796</v>
      </c>
      <c r="BA719" s="3"/>
      <c r="BB719" s="3"/>
      <c r="BC719" s="3"/>
      <c r="BD719" s="3"/>
      <c r="BE719" s="204"/>
      <c r="BF719" s="294">
        <f t="shared" si="11"/>
        <v>29</v>
      </c>
      <c r="BG719" s="297">
        <f t="shared" si="12"/>
        <v>0.30208333333333331</v>
      </c>
      <c r="BH719" s="298">
        <f t="shared" si="13"/>
        <v>9.0624999999999997E-2</v>
      </c>
      <c r="BI719" s="3"/>
      <c r="BJ719" s="3"/>
      <c r="BK719" s="3"/>
      <c r="BL719" s="3"/>
      <c r="BM719" s="3"/>
      <c r="BN719" s="3"/>
      <c r="BS719" s="294">
        <f t="shared" si="14"/>
        <v>29</v>
      </c>
      <c r="BT719" s="297">
        <f t="shared" si="15"/>
        <v>0.30208333333333331</v>
      </c>
      <c r="BU719" s="298">
        <f t="shared" si="16"/>
        <v>4.0407427277062466E-2</v>
      </c>
      <c r="CC719" s="3"/>
      <c r="CD719" s="3"/>
      <c r="CE719" s="3"/>
      <c r="CF719" s="3"/>
      <c r="CG719" s="1464">
        <f t="shared" ref="CG719:CG752" si="38">IF(AND(AC719&lt;=0.5,AC719&gt;=0.36),1,0)</f>
        <v>0</v>
      </c>
      <c r="CH719" s="1465"/>
      <c r="CI719" s="1470">
        <f t="shared" ref="CI719:CI752" si="39">IF(CG719=1,G719,0)</f>
        <v>0</v>
      </c>
      <c r="CJ719" s="1471"/>
      <c r="CK719" s="1464">
        <f t="shared" si="17"/>
        <v>1</v>
      </c>
      <c r="CL719" s="1465"/>
      <c r="CM719" s="1470">
        <f t="shared" si="18"/>
        <v>29</v>
      </c>
      <c r="CN719" s="1471"/>
      <c r="CO719" s="3"/>
      <c r="CP719" s="1459">
        <f t="shared" si="19"/>
        <v>29</v>
      </c>
      <c r="CQ719" s="1460"/>
      <c r="CR719" s="1460"/>
      <c r="CS719" s="1460"/>
      <c r="CT719" s="1461"/>
      <c r="CU719" s="1444">
        <f t="shared" si="20"/>
        <v>0</v>
      </c>
      <c r="CV719" s="1444"/>
      <c r="CW719" s="1444"/>
      <c r="CX719" s="1444"/>
      <c r="CY719" s="1444"/>
      <c r="CZ719" s="1444">
        <f t="shared" si="21"/>
        <v>0</v>
      </c>
      <c r="DA719" s="1444"/>
      <c r="DB719" s="1444"/>
      <c r="DC719" s="1444"/>
      <c r="DD719" s="1444"/>
      <c r="DE719" s="1444">
        <f t="shared" si="22"/>
        <v>0</v>
      </c>
      <c r="DF719" s="1444"/>
      <c r="DG719" s="1444"/>
      <c r="DH719" s="1444"/>
      <c r="DI719" s="1444"/>
      <c r="DJ719" s="1444">
        <f t="shared" si="23"/>
        <v>0</v>
      </c>
      <c r="DK719" s="1444"/>
      <c r="DL719" s="1444"/>
      <c r="DM719" s="1444"/>
      <c r="DN719" s="1444"/>
      <c r="DO719" s="1444">
        <f t="shared" si="24"/>
        <v>0</v>
      </c>
      <c r="DP719" s="1444"/>
      <c r="DQ719" s="1444"/>
      <c r="DR719" s="1444"/>
      <c r="DS719" s="1444"/>
      <c r="DT719" s="6"/>
      <c r="DU719" s="1445">
        <f t="shared" si="25"/>
        <v>29</v>
      </c>
      <c r="DV719" s="1445"/>
      <c r="DW719" s="1445"/>
      <c r="DX719" s="1445"/>
      <c r="DY719" s="1445"/>
      <c r="DZ719" s="1445">
        <f t="shared" si="26"/>
        <v>0</v>
      </c>
      <c r="EA719" s="1445"/>
      <c r="EB719" s="1445"/>
      <c r="EC719" s="1445"/>
      <c r="ED719" s="1445"/>
      <c r="EE719" s="1445">
        <f t="shared" si="27"/>
        <v>0</v>
      </c>
      <c r="EF719" s="1445"/>
      <c r="EG719" s="1445"/>
      <c r="EH719" s="1445"/>
      <c r="EI719" s="1445"/>
      <c r="EJ719" s="1445">
        <f t="shared" si="28"/>
        <v>0</v>
      </c>
      <c r="EK719" s="1445"/>
      <c r="EL719" s="1445"/>
      <c r="EM719" s="1445"/>
      <c r="EN719" s="1445"/>
      <c r="EO719" s="1445">
        <f t="shared" si="29"/>
        <v>0</v>
      </c>
      <c r="EP719" s="1445"/>
      <c r="EQ719" s="1445"/>
      <c r="ER719" s="1445"/>
      <c r="ES719" s="1445"/>
      <c r="ET719" s="1445">
        <f t="shared" si="30"/>
        <v>0</v>
      </c>
      <c r="EU719" s="1445"/>
      <c r="EV719" s="1445"/>
      <c r="EW719" s="1445"/>
      <c r="EX719" s="1445"/>
      <c r="EY719" s="4"/>
      <c r="EZ719" s="1464">
        <f t="shared" si="31"/>
        <v>300</v>
      </c>
      <c r="FA719" s="1466"/>
      <c r="FB719" s="1466"/>
      <c r="FC719" s="1466"/>
      <c r="FD719" s="1465"/>
      <c r="FE719" s="1464" t="str">
        <f t="shared" si="32"/>
        <v/>
      </c>
      <c r="FF719" s="1466"/>
      <c r="FG719" s="1466"/>
      <c r="FH719" s="1466"/>
      <c r="FI719" s="1465"/>
      <c r="FJ719" s="1464" t="str">
        <f t="shared" si="33"/>
        <v/>
      </c>
      <c r="FK719" s="1466"/>
      <c r="FL719" s="1466"/>
      <c r="FM719" s="1466"/>
      <c r="FN719" s="1465"/>
      <c r="FO719" s="1464" t="str">
        <f t="shared" si="34"/>
        <v/>
      </c>
      <c r="FP719" s="1466"/>
      <c r="FQ719" s="1466"/>
      <c r="FR719" s="1466"/>
      <c r="FS719" s="1465"/>
      <c r="FT719" s="1464" t="str">
        <f t="shared" si="35"/>
        <v/>
      </c>
      <c r="FU719" s="1466"/>
      <c r="FV719" s="1466"/>
      <c r="FW719" s="1466"/>
      <c r="FX719" s="1465"/>
      <c r="FY719" s="1464" t="str">
        <f t="shared" si="36"/>
        <v/>
      </c>
      <c r="FZ719" s="1466"/>
      <c r="GA719" s="1466"/>
      <c r="GB719" s="1466"/>
      <c r="GC719" s="1465"/>
    </row>
    <row r="720" spans="1:185" ht="12.95" customHeight="1">
      <c r="A720" s="4"/>
      <c r="B720" s="1337" t="s">
        <v>323</v>
      </c>
      <c r="C720" s="1338"/>
      <c r="D720" s="1338"/>
      <c r="E720" s="1338"/>
      <c r="F720" s="1339"/>
      <c r="G720" s="1350">
        <v>47</v>
      </c>
      <c r="H720" s="1351"/>
      <c r="I720" s="1351"/>
      <c r="J720" s="1352"/>
      <c r="K720" s="1343">
        <f>K719</f>
        <v>305</v>
      </c>
      <c r="L720" s="1344"/>
      <c r="M720" s="1344"/>
      <c r="N720" s="1345"/>
      <c r="O720" s="1340">
        <f>O719</f>
        <v>300</v>
      </c>
      <c r="P720" s="1341"/>
      <c r="Q720" s="1341"/>
      <c r="R720" s="1341"/>
      <c r="S720" s="1342"/>
      <c r="T720" s="1340">
        <f>T719</f>
        <v>74</v>
      </c>
      <c r="U720" s="1341"/>
      <c r="V720" s="1341"/>
      <c r="W720" s="1342"/>
      <c r="X720" s="1353">
        <f t="shared" si="9"/>
        <v>374</v>
      </c>
      <c r="Y720" s="1354"/>
      <c r="Z720" s="1354"/>
      <c r="AA720" s="1354"/>
      <c r="AB720" s="1355"/>
      <c r="AC720" s="1360">
        <v>0.5</v>
      </c>
      <c r="AD720" s="1361"/>
      <c r="AE720" s="1361"/>
      <c r="AF720" s="1361"/>
      <c r="AG720" s="1362"/>
      <c r="AH720" s="1356">
        <f t="shared" si="37"/>
        <v>0.13376251788268956</v>
      </c>
      <c r="AI720" s="1357"/>
      <c r="AJ720" s="1358"/>
      <c r="AK720" s="1337" t="s">
        <v>591</v>
      </c>
      <c r="AL720" s="1338"/>
      <c r="AM720" s="1338"/>
      <c r="AN720" s="1338"/>
      <c r="AO720" s="1339"/>
      <c r="AP720" s="3"/>
      <c r="AQ720" s="3"/>
      <c r="AR720" s="3"/>
      <c r="AS720" s="3"/>
      <c r="AZ720" s="118">
        <f t="shared" si="10"/>
        <v>2796</v>
      </c>
      <c r="BA720" s="3"/>
      <c r="BB720" s="3"/>
      <c r="BC720" s="3"/>
      <c r="BD720" s="3"/>
      <c r="BE720" s="204"/>
      <c r="BF720" s="294">
        <f t="shared" si="11"/>
        <v>47</v>
      </c>
      <c r="BG720" s="297">
        <f t="shared" si="12"/>
        <v>0.48958333333333331</v>
      </c>
      <c r="BH720" s="298">
        <f t="shared" si="13"/>
        <v>0.24479166666666666</v>
      </c>
      <c r="BI720" s="3"/>
      <c r="BJ720" s="3"/>
      <c r="BK720" s="3"/>
      <c r="BL720" s="3"/>
      <c r="BM720" s="3"/>
      <c r="BN720" s="3"/>
      <c r="BS720" s="294">
        <f t="shared" si="14"/>
        <v>47</v>
      </c>
      <c r="BT720" s="297">
        <f t="shared" si="15"/>
        <v>0.48958333333333331</v>
      </c>
      <c r="BU720" s="298">
        <f t="shared" si="16"/>
        <v>6.5487899380066758E-2</v>
      </c>
      <c r="CC720" s="3"/>
      <c r="CD720" s="3"/>
      <c r="CE720" s="3"/>
      <c r="CF720" s="3"/>
      <c r="CG720" s="1464">
        <f t="shared" si="38"/>
        <v>1</v>
      </c>
      <c r="CH720" s="1465"/>
      <c r="CI720" s="1470">
        <f t="shared" si="39"/>
        <v>47</v>
      </c>
      <c r="CJ720" s="1471"/>
      <c r="CK720" s="1464">
        <f t="shared" si="17"/>
        <v>0</v>
      </c>
      <c r="CL720" s="1465"/>
      <c r="CM720" s="1470">
        <f t="shared" si="18"/>
        <v>0</v>
      </c>
      <c r="CN720" s="1471"/>
      <c r="CO720" s="3"/>
      <c r="CP720" s="1459">
        <f t="shared" si="19"/>
        <v>47</v>
      </c>
      <c r="CQ720" s="1460"/>
      <c r="CR720" s="1460"/>
      <c r="CS720" s="1460"/>
      <c r="CT720" s="1461"/>
      <c r="CU720" s="1444">
        <f t="shared" si="20"/>
        <v>0</v>
      </c>
      <c r="CV720" s="1444"/>
      <c r="CW720" s="1444"/>
      <c r="CX720" s="1444"/>
      <c r="CY720" s="1444"/>
      <c r="CZ720" s="1444">
        <f t="shared" si="21"/>
        <v>0</v>
      </c>
      <c r="DA720" s="1444"/>
      <c r="DB720" s="1444"/>
      <c r="DC720" s="1444"/>
      <c r="DD720" s="1444"/>
      <c r="DE720" s="1444">
        <f t="shared" si="22"/>
        <v>0</v>
      </c>
      <c r="DF720" s="1444"/>
      <c r="DG720" s="1444"/>
      <c r="DH720" s="1444"/>
      <c r="DI720" s="1444"/>
      <c r="DJ720" s="1444">
        <f t="shared" si="23"/>
        <v>0</v>
      </c>
      <c r="DK720" s="1444"/>
      <c r="DL720" s="1444"/>
      <c r="DM720" s="1444"/>
      <c r="DN720" s="1444"/>
      <c r="DO720" s="1444">
        <f t="shared" si="24"/>
        <v>0</v>
      </c>
      <c r="DP720" s="1444"/>
      <c r="DQ720" s="1444"/>
      <c r="DR720" s="1444"/>
      <c r="DS720" s="1444"/>
      <c r="DT720" s="6"/>
      <c r="DU720" s="1445">
        <f t="shared" si="25"/>
        <v>0</v>
      </c>
      <c r="DV720" s="1445"/>
      <c r="DW720" s="1445"/>
      <c r="DX720" s="1445"/>
      <c r="DY720" s="1445"/>
      <c r="DZ720" s="1445">
        <f t="shared" si="26"/>
        <v>0</v>
      </c>
      <c r="EA720" s="1445"/>
      <c r="EB720" s="1445"/>
      <c r="EC720" s="1445"/>
      <c r="ED720" s="1445"/>
      <c r="EE720" s="1445">
        <f t="shared" si="27"/>
        <v>0</v>
      </c>
      <c r="EF720" s="1445"/>
      <c r="EG720" s="1445"/>
      <c r="EH720" s="1445"/>
      <c r="EI720" s="1445"/>
      <c r="EJ720" s="1445">
        <f t="shared" si="28"/>
        <v>0</v>
      </c>
      <c r="EK720" s="1445"/>
      <c r="EL720" s="1445"/>
      <c r="EM720" s="1445"/>
      <c r="EN720" s="1445"/>
      <c r="EO720" s="1445">
        <f t="shared" si="29"/>
        <v>0</v>
      </c>
      <c r="EP720" s="1445"/>
      <c r="EQ720" s="1445"/>
      <c r="ER720" s="1445"/>
      <c r="ES720" s="1445"/>
      <c r="ET720" s="1445">
        <f t="shared" si="30"/>
        <v>0</v>
      </c>
      <c r="EU720" s="1445"/>
      <c r="EV720" s="1445"/>
      <c r="EW720" s="1445"/>
      <c r="EX720" s="1445"/>
      <c r="EZ720" s="1464">
        <f t="shared" si="31"/>
        <v>300</v>
      </c>
      <c r="FA720" s="1466"/>
      <c r="FB720" s="1466"/>
      <c r="FC720" s="1466"/>
      <c r="FD720" s="1465"/>
      <c r="FE720" s="1464" t="str">
        <f t="shared" si="32"/>
        <v/>
      </c>
      <c r="FF720" s="1466"/>
      <c r="FG720" s="1466"/>
      <c r="FH720" s="1466"/>
      <c r="FI720" s="1465"/>
      <c r="FJ720" s="1464" t="str">
        <f t="shared" si="33"/>
        <v/>
      </c>
      <c r="FK720" s="1466"/>
      <c r="FL720" s="1466"/>
      <c r="FM720" s="1466"/>
      <c r="FN720" s="1465"/>
      <c r="FO720" s="1464" t="str">
        <f t="shared" si="34"/>
        <v/>
      </c>
      <c r="FP720" s="1466"/>
      <c r="FQ720" s="1466"/>
      <c r="FR720" s="1466"/>
      <c r="FS720" s="1465"/>
      <c r="FT720" s="1464" t="str">
        <f t="shared" si="35"/>
        <v/>
      </c>
      <c r="FU720" s="1466"/>
      <c r="FV720" s="1466"/>
      <c r="FW720" s="1466"/>
      <c r="FX720" s="1465"/>
      <c r="FY720" s="1464" t="str">
        <f t="shared" si="36"/>
        <v/>
      </c>
      <c r="FZ720" s="1466"/>
      <c r="GA720" s="1466"/>
      <c r="GB720" s="1466"/>
      <c r="GC720" s="1465"/>
    </row>
    <row r="721" spans="1:185" ht="12.95" customHeight="1">
      <c r="B721" s="1337"/>
      <c r="C721" s="1338"/>
      <c r="D721" s="1338"/>
      <c r="E721" s="1338"/>
      <c r="F721" s="1339"/>
      <c r="G721" s="1350"/>
      <c r="H721" s="1351"/>
      <c r="I721" s="1351"/>
      <c r="J721" s="1352"/>
      <c r="K721" s="1343"/>
      <c r="L721" s="1344"/>
      <c r="M721" s="1344"/>
      <c r="N721" s="1345"/>
      <c r="O721" s="1340"/>
      <c r="P721" s="1341"/>
      <c r="Q721" s="1341"/>
      <c r="R721" s="1341"/>
      <c r="S721" s="1342"/>
      <c r="T721" s="1340"/>
      <c r="U721" s="1341"/>
      <c r="V721" s="1341"/>
      <c r="W721" s="1342"/>
      <c r="X721" s="1353">
        <f t="shared" si="9"/>
        <v>0</v>
      </c>
      <c r="Y721" s="1354"/>
      <c r="Z721" s="1354"/>
      <c r="AA721" s="1354"/>
      <c r="AB721" s="1355"/>
      <c r="AC721" s="1360"/>
      <c r="AD721" s="1361"/>
      <c r="AE721" s="1361"/>
      <c r="AF721" s="1361"/>
      <c r="AG721" s="1362"/>
      <c r="AH721" s="1356" t="str">
        <f t="shared" si="37"/>
        <v/>
      </c>
      <c r="AI721" s="1357"/>
      <c r="AJ721" s="1358"/>
      <c r="AK721" s="1337" t="s">
        <v>591</v>
      </c>
      <c r="AL721" s="1338"/>
      <c r="AM721" s="1338"/>
      <c r="AN721" s="1338"/>
      <c r="AO721" s="1339"/>
      <c r="AP721" s="3"/>
      <c r="AQ721" s="3"/>
      <c r="AR721" s="3"/>
      <c r="AS721" s="3"/>
      <c r="AY721" s="116"/>
      <c r="AZ721" s="118" t="str">
        <f t="shared" si="10"/>
        <v>N/A</v>
      </c>
      <c r="BA721" s="3"/>
      <c r="BB721" s="3"/>
      <c r="BC721" s="3"/>
      <c r="BD721" s="3"/>
      <c r="BE721" s="204"/>
      <c r="BF721" s="294">
        <f t="shared" si="11"/>
        <v>0</v>
      </c>
      <c r="BG721" s="297">
        <f t="shared" si="12"/>
        <v>0</v>
      </c>
      <c r="BH721" s="298" t="str">
        <f t="shared" si="13"/>
        <v/>
      </c>
      <c r="BI721" s="3"/>
      <c r="BJ721" s="3"/>
      <c r="BK721" s="3"/>
      <c r="BL721" s="3"/>
      <c r="BM721" s="3"/>
      <c r="BN721" s="3"/>
      <c r="BS721" s="294">
        <f t="shared" si="14"/>
        <v>0</v>
      </c>
      <c r="BT721" s="297">
        <f t="shared" si="15"/>
        <v>0</v>
      </c>
      <c r="BU721" s="298" t="str">
        <f t="shared" si="16"/>
        <v/>
      </c>
      <c r="CC721" s="3"/>
      <c r="CD721" s="3"/>
      <c r="CE721" s="3"/>
      <c r="CF721" s="3"/>
      <c r="CG721" s="1464">
        <f t="shared" si="38"/>
        <v>0</v>
      </c>
      <c r="CH721" s="1465"/>
      <c r="CI721" s="1470">
        <f t="shared" si="39"/>
        <v>0</v>
      </c>
      <c r="CJ721" s="1471"/>
      <c r="CK721" s="1464">
        <f t="shared" si="17"/>
        <v>0</v>
      </c>
      <c r="CL721" s="1465"/>
      <c r="CM721" s="1470">
        <f t="shared" si="18"/>
        <v>0</v>
      </c>
      <c r="CN721" s="1471"/>
      <c r="CO721" s="3"/>
      <c r="CP721" s="1459">
        <f t="shared" si="19"/>
        <v>0</v>
      </c>
      <c r="CQ721" s="1460"/>
      <c r="CR721" s="1460"/>
      <c r="CS721" s="1460"/>
      <c r="CT721" s="1461"/>
      <c r="CU721" s="1444">
        <f t="shared" si="20"/>
        <v>0</v>
      </c>
      <c r="CV721" s="1444"/>
      <c r="CW721" s="1444"/>
      <c r="CX721" s="1444"/>
      <c r="CY721" s="1444"/>
      <c r="CZ721" s="1444">
        <f t="shared" si="21"/>
        <v>0</v>
      </c>
      <c r="DA721" s="1444"/>
      <c r="DB721" s="1444"/>
      <c r="DC721" s="1444"/>
      <c r="DD721" s="1444"/>
      <c r="DE721" s="1444">
        <f t="shared" si="22"/>
        <v>0</v>
      </c>
      <c r="DF721" s="1444"/>
      <c r="DG721" s="1444"/>
      <c r="DH721" s="1444"/>
      <c r="DI721" s="1444"/>
      <c r="DJ721" s="1444">
        <f t="shared" si="23"/>
        <v>0</v>
      </c>
      <c r="DK721" s="1444"/>
      <c r="DL721" s="1444"/>
      <c r="DM721" s="1444"/>
      <c r="DN721" s="1444"/>
      <c r="DO721" s="1444">
        <f t="shared" si="24"/>
        <v>0</v>
      </c>
      <c r="DP721" s="1444"/>
      <c r="DQ721" s="1444"/>
      <c r="DR721" s="1444"/>
      <c r="DS721" s="1444"/>
      <c r="DT721" s="6"/>
      <c r="DU721" s="1445">
        <f t="shared" si="25"/>
        <v>0</v>
      </c>
      <c r="DV721" s="1445"/>
      <c r="DW721" s="1445"/>
      <c r="DX721" s="1445"/>
      <c r="DY721" s="1445"/>
      <c r="DZ721" s="1445">
        <f t="shared" si="26"/>
        <v>0</v>
      </c>
      <c r="EA721" s="1445"/>
      <c r="EB721" s="1445"/>
      <c r="EC721" s="1445"/>
      <c r="ED721" s="1445"/>
      <c r="EE721" s="1445">
        <f t="shared" si="27"/>
        <v>0</v>
      </c>
      <c r="EF721" s="1445"/>
      <c r="EG721" s="1445"/>
      <c r="EH721" s="1445"/>
      <c r="EI721" s="1445"/>
      <c r="EJ721" s="1445">
        <f t="shared" si="28"/>
        <v>0</v>
      </c>
      <c r="EK721" s="1445"/>
      <c r="EL721" s="1445"/>
      <c r="EM721" s="1445"/>
      <c r="EN721" s="1445"/>
      <c r="EO721" s="1445">
        <f t="shared" si="29"/>
        <v>0</v>
      </c>
      <c r="EP721" s="1445"/>
      <c r="EQ721" s="1445"/>
      <c r="ER721" s="1445"/>
      <c r="ES721" s="1445"/>
      <c r="ET721" s="1445">
        <f t="shared" si="30"/>
        <v>0</v>
      </c>
      <c r="EU721" s="1445"/>
      <c r="EV721" s="1445"/>
      <c r="EW721" s="1445"/>
      <c r="EX721" s="1445"/>
      <c r="EZ721" s="1464" t="str">
        <f t="shared" si="31"/>
        <v/>
      </c>
      <c r="FA721" s="1466"/>
      <c r="FB721" s="1466"/>
      <c r="FC721" s="1466"/>
      <c r="FD721" s="1465"/>
      <c r="FE721" s="1464" t="str">
        <f t="shared" si="32"/>
        <v/>
      </c>
      <c r="FF721" s="1466"/>
      <c r="FG721" s="1466"/>
      <c r="FH721" s="1466"/>
      <c r="FI721" s="1465"/>
      <c r="FJ721" s="1464" t="str">
        <f t="shared" si="33"/>
        <v/>
      </c>
      <c r="FK721" s="1466"/>
      <c r="FL721" s="1466"/>
      <c r="FM721" s="1466"/>
      <c r="FN721" s="1465"/>
      <c r="FO721" s="1464" t="str">
        <f t="shared" si="34"/>
        <v/>
      </c>
      <c r="FP721" s="1466"/>
      <c r="FQ721" s="1466"/>
      <c r="FR721" s="1466"/>
      <c r="FS721" s="1465"/>
      <c r="FT721" s="1464" t="str">
        <f t="shared" si="35"/>
        <v/>
      </c>
      <c r="FU721" s="1466"/>
      <c r="FV721" s="1466"/>
      <c r="FW721" s="1466"/>
      <c r="FX721" s="1465"/>
      <c r="FY721" s="1464" t="str">
        <f t="shared" si="36"/>
        <v/>
      </c>
      <c r="FZ721" s="1466"/>
      <c r="GA721" s="1466"/>
      <c r="GB721" s="1466"/>
      <c r="GC721" s="1465"/>
    </row>
    <row r="722" spans="1:185" ht="12.95" customHeight="1">
      <c r="B722" s="1337"/>
      <c r="C722" s="1338"/>
      <c r="D722" s="1338"/>
      <c r="E722" s="1338"/>
      <c r="F722" s="1339"/>
      <c r="G722" s="1350"/>
      <c r="H722" s="1351"/>
      <c r="I722" s="1351"/>
      <c r="J722" s="1352"/>
      <c r="K722" s="1343"/>
      <c r="L722" s="1344"/>
      <c r="M722" s="1344"/>
      <c r="N722" s="1345"/>
      <c r="O722" s="1340"/>
      <c r="P722" s="1341"/>
      <c r="Q722" s="1341"/>
      <c r="R722" s="1341"/>
      <c r="S722" s="1342"/>
      <c r="T722" s="1340"/>
      <c r="U722" s="1341"/>
      <c r="V722" s="1341"/>
      <c r="W722" s="1342"/>
      <c r="X722" s="1353">
        <f t="shared" si="9"/>
        <v>0</v>
      </c>
      <c r="Y722" s="1354"/>
      <c r="Z722" s="1354"/>
      <c r="AA722" s="1354"/>
      <c r="AB722" s="1355"/>
      <c r="AC722" s="1360"/>
      <c r="AD722" s="1361"/>
      <c r="AE722" s="1361"/>
      <c r="AF722" s="1361"/>
      <c r="AG722" s="1362"/>
      <c r="AH722" s="1356" t="str">
        <f t="shared" si="37"/>
        <v/>
      </c>
      <c r="AI722" s="1357"/>
      <c r="AJ722" s="1358"/>
      <c r="AK722" s="1337" t="s">
        <v>591</v>
      </c>
      <c r="AL722" s="1338"/>
      <c r="AM722" s="1338"/>
      <c r="AN722" s="1338"/>
      <c r="AO722" s="1339"/>
      <c r="AP722" s="3"/>
      <c r="AQ722" s="3"/>
      <c r="AR722" s="3"/>
      <c r="AS722" s="3"/>
      <c r="AY722" s="116"/>
      <c r="AZ722" s="118" t="str">
        <f t="shared" si="10"/>
        <v>N/A</v>
      </c>
      <c r="BA722" s="3"/>
      <c r="BB722" s="3"/>
      <c r="BC722" s="3"/>
      <c r="BD722" s="3"/>
      <c r="BE722" s="204"/>
      <c r="BF722" s="294">
        <f t="shared" si="11"/>
        <v>0</v>
      </c>
      <c r="BG722" s="297">
        <f t="shared" si="12"/>
        <v>0</v>
      </c>
      <c r="BH722" s="298" t="str">
        <f t="shared" si="13"/>
        <v/>
      </c>
      <c r="BI722" s="3"/>
      <c r="BJ722" s="3"/>
      <c r="BK722" s="3"/>
      <c r="BL722" s="3"/>
      <c r="BM722" s="3"/>
      <c r="BN722" s="3"/>
      <c r="BS722" s="294">
        <f t="shared" si="14"/>
        <v>0</v>
      </c>
      <c r="BT722" s="297">
        <f t="shared" si="15"/>
        <v>0</v>
      </c>
      <c r="BU722" s="298" t="str">
        <f t="shared" si="16"/>
        <v/>
      </c>
      <c r="CC722" s="3"/>
      <c r="CD722" s="3"/>
      <c r="CE722" s="3"/>
      <c r="CF722" s="3"/>
      <c r="CG722" s="1464">
        <f t="shared" si="38"/>
        <v>0</v>
      </c>
      <c r="CH722" s="1465"/>
      <c r="CI722" s="1470">
        <f t="shared" si="39"/>
        <v>0</v>
      </c>
      <c r="CJ722" s="1471"/>
      <c r="CK722" s="1464">
        <f t="shared" si="17"/>
        <v>0</v>
      </c>
      <c r="CL722" s="1465"/>
      <c r="CM722" s="1470">
        <f t="shared" si="18"/>
        <v>0</v>
      </c>
      <c r="CN722" s="1471"/>
      <c r="CO722" s="3"/>
      <c r="CP722" s="1459">
        <f t="shared" si="19"/>
        <v>0</v>
      </c>
      <c r="CQ722" s="1460"/>
      <c r="CR722" s="1460"/>
      <c r="CS722" s="1460"/>
      <c r="CT722" s="1461"/>
      <c r="CU722" s="1444">
        <f t="shared" si="20"/>
        <v>0</v>
      </c>
      <c r="CV722" s="1444"/>
      <c r="CW722" s="1444"/>
      <c r="CX722" s="1444"/>
      <c r="CY722" s="1444"/>
      <c r="CZ722" s="1444">
        <f t="shared" si="21"/>
        <v>0</v>
      </c>
      <c r="DA722" s="1444"/>
      <c r="DB722" s="1444"/>
      <c r="DC722" s="1444"/>
      <c r="DD722" s="1444"/>
      <c r="DE722" s="1444">
        <f t="shared" si="22"/>
        <v>0</v>
      </c>
      <c r="DF722" s="1444"/>
      <c r="DG722" s="1444"/>
      <c r="DH722" s="1444"/>
      <c r="DI722" s="1444"/>
      <c r="DJ722" s="1444">
        <f t="shared" si="23"/>
        <v>0</v>
      </c>
      <c r="DK722" s="1444"/>
      <c r="DL722" s="1444"/>
      <c r="DM722" s="1444"/>
      <c r="DN722" s="1444"/>
      <c r="DO722" s="1444">
        <f t="shared" si="24"/>
        <v>0</v>
      </c>
      <c r="DP722" s="1444"/>
      <c r="DQ722" s="1444"/>
      <c r="DR722" s="1444"/>
      <c r="DS722" s="1444"/>
      <c r="DT722" s="6"/>
      <c r="DU722" s="1445">
        <f t="shared" si="25"/>
        <v>0</v>
      </c>
      <c r="DV722" s="1445"/>
      <c r="DW722" s="1445"/>
      <c r="DX722" s="1445"/>
      <c r="DY722" s="1445"/>
      <c r="DZ722" s="1445">
        <f t="shared" si="26"/>
        <v>0</v>
      </c>
      <c r="EA722" s="1445"/>
      <c r="EB722" s="1445"/>
      <c r="EC722" s="1445"/>
      <c r="ED722" s="1445"/>
      <c r="EE722" s="1445">
        <f t="shared" si="27"/>
        <v>0</v>
      </c>
      <c r="EF722" s="1445"/>
      <c r="EG722" s="1445"/>
      <c r="EH722" s="1445"/>
      <c r="EI722" s="1445"/>
      <c r="EJ722" s="1445">
        <f t="shared" si="28"/>
        <v>0</v>
      </c>
      <c r="EK722" s="1445"/>
      <c r="EL722" s="1445"/>
      <c r="EM722" s="1445"/>
      <c r="EN722" s="1445"/>
      <c r="EO722" s="1445">
        <f t="shared" si="29"/>
        <v>0</v>
      </c>
      <c r="EP722" s="1445"/>
      <c r="EQ722" s="1445"/>
      <c r="ER722" s="1445"/>
      <c r="ES722" s="1445"/>
      <c r="ET722" s="1445">
        <f t="shared" si="30"/>
        <v>0</v>
      </c>
      <c r="EU722" s="1445"/>
      <c r="EV722" s="1445"/>
      <c r="EW722" s="1445"/>
      <c r="EX722" s="1445"/>
      <c r="EZ722" s="1464" t="str">
        <f t="shared" si="31"/>
        <v/>
      </c>
      <c r="FA722" s="1466"/>
      <c r="FB722" s="1466"/>
      <c r="FC722" s="1466"/>
      <c r="FD722" s="1465"/>
      <c r="FE722" s="1464" t="str">
        <f t="shared" si="32"/>
        <v/>
      </c>
      <c r="FF722" s="1466"/>
      <c r="FG722" s="1466"/>
      <c r="FH722" s="1466"/>
      <c r="FI722" s="1465"/>
      <c r="FJ722" s="1464" t="str">
        <f t="shared" si="33"/>
        <v/>
      </c>
      <c r="FK722" s="1466"/>
      <c r="FL722" s="1466"/>
      <c r="FM722" s="1466"/>
      <c r="FN722" s="1465"/>
      <c r="FO722" s="1464" t="str">
        <f t="shared" si="34"/>
        <v/>
      </c>
      <c r="FP722" s="1466"/>
      <c r="FQ722" s="1466"/>
      <c r="FR722" s="1466"/>
      <c r="FS722" s="1465"/>
      <c r="FT722" s="1464" t="str">
        <f t="shared" si="35"/>
        <v/>
      </c>
      <c r="FU722" s="1466"/>
      <c r="FV722" s="1466"/>
      <c r="FW722" s="1466"/>
      <c r="FX722" s="1465"/>
      <c r="FY722" s="1464" t="str">
        <f t="shared" si="36"/>
        <v/>
      </c>
      <c r="FZ722" s="1466"/>
      <c r="GA722" s="1466"/>
      <c r="GB722" s="1466"/>
      <c r="GC722" s="1465"/>
    </row>
    <row r="723" spans="1:185" ht="12.95" customHeight="1">
      <c r="B723" s="1337"/>
      <c r="C723" s="1338"/>
      <c r="D723" s="1338"/>
      <c r="E723" s="1338"/>
      <c r="F723" s="1339"/>
      <c r="G723" s="1350"/>
      <c r="H723" s="1351"/>
      <c r="I723" s="1351"/>
      <c r="J723" s="1352"/>
      <c r="K723" s="1343"/>
      <c r="L723" s="1344"/>
      <c r="M723" s="1344"/>
      <c r="N723" s="1345"/>
      <c r="O723" s="1340"/>
      <c r="P723" s="1341"/>
      <c r="Q723" s="1341"/>
      <c r="R723" s="1341"/>
      <c r="S723" s="1342"/>
      <c r="T723" s="1340"/>
      <c r="U723" s="1341"/>
      <c r="V723" s="1341"/>
      <c r="W723" s="1342"/>
      <c r="X723" s="1353">
        <f t="shared" si="9"/>
        <v>0</v>
      </c>
      <c r="Y723" s="1354"/>
      <c r="Z723" s="1354"/>
      <c r="AA723" s="1354"/>
      <c r="AB723" s="1355"/>
      <c r="AC723" s="1360"/>
      <c r="AD723" s="1361"/>
      <c r="AE723" s="1361"/>
      <c r="AF723" s="1361"/>
      <c r="AG723" s="1362"/>
      <c r="AH723" s="1356" t="str">
        <f t="shared" si="37"/>
        <v/>
      </c>
      <c r="AI723" s="1357"/>
      <c r="AJ723" s="1358"/>
      <c r="AK723" s="1337" t="s">
        <v>591</v>
      </c>
      <c r="AL723" s="1338"/>
      <c r="AM723" s="1338"/>
      <c r="AN723" s="1338"/>
      <c r="AO723" s="1339"/>
      <c r="AP723" s="3"/>
      <c r="AQ723" s="3"/>
      <c r="AR723" s="3"/>
      <c r="AS723" s="3"/>
      <c r="AY723" s="116"/>
      <c r="AZ723" s="118" t="str">
        <f t="shared" si="10"/>
        <v>N/A</v>
      </c>
      <c r="BA723" s="3"/>
      <c r="BB723" s="3"/>
      <c r="BC723" s="3"/>
      <c r="BD723" s="3"/>
      <c r="BE723" s="204"/>
      <c r="BF723" s="294">
        <f t="shared" si="11"/>
        <v>0</v>
      </c>
      <c r="BG723" s="297">
        <f t="shared" si="12"/>
        <v>0</v>
      </c>
      <c r="BH723" s="298" t="str">
        <f t="shared" si="13"/>
        <v/>
      </c>
      <c r="BI723" s="3"/>
      <c r="BJ723" s="3"/>
      <c r="BK723" s="3"/>
      <c r="BL723" s="3"/>
      <c r="BM723" s="3"/>
      <c r="BN723" s="3"/>
      <c r="BS723" s="294">
        <f t="shared" si="14"/>
        <v>0</v>
      </c>
      <c r="BT723" s="297">
        <f t="shared" si="15"/>
        <v>0</v>
      </c>
      <c r="BU723" s="298" t="str">
        <f t="shared" si="16"/>
        <v/>
      </c>
      <c r="CC723" s="3"/>
      <c r="CD723" s="3"/>
      <c r="CE723" s="3"/>
      <c r="CF723" s="3"/>
      <c r="CG723" s="1464">
        <f t="shared" si="38"/>
        <v>0</v>
      </c>
      <c r="CH723" s="1465"/>
      <c r="CI723" s="1470">
        <f t="shared" si="39"/>
        <v>0</v>
      </c>
      <c r="CJ723" s="1471"/>
      <c r="CK723" s="1464">
        <f t="shared" si="17"/>
        <v>0</v>
      </c>
      <c r="CL723" s="1465"/>
      <c r="CM723" s="1470">
        <f t="shared" si="18"/>
        <v>0</v>
      </c>
      <c r="CN723" s="1471"/>
      <c r="CO723" s="3"/>
      <c r="CP723" s="1459">
        <f t="shared" si="19"/>
        <v>0</v>
      </c>
      <c r="CQ723" s="1460"/>
      <c r="CR723" s="1460"/>
      <c r="CS723" s="1460"/>
      <c r="CT723" s="1461"/>
      <c r="CU723" s="1444">
        <f t="shared" si="20"/>
        <v>0</v>
      </c>
      <c r="CV723" s="1444"/>
      <c r="CW723" s="1444"/>
      <c r="CX723" s="1444"/>
      <c r="CY723" s="1444"/>
      <c r="CZ723" s="1444">
        <f t="shared" si="21"/>
        <v>0</v>
      </c>
      <c r="DA723" s="1444"/>
      <c r="DB723" s="1444"/>
      <c r="DC723" s="1444"/>
      <c r="DD723" s="1444"/>
      <c r="DE723" s="1444">
        <f t="shared" si="22"/>
        <v>0</v>
      </c>
      <c r="DF723" s="1444"/>
      <c r="DG723" s="1444"/>
      <c r="DH723" s="1444"/>
      <c r="DI723" s="1444"/>
      <c r="DJ723" s="1444">
        <f t="shared" si="23"/>
        <v>0</v>
      </c>
      <c r="DK723" s="1444"/>
      <c r="DL723" s="1444"/>
      <c r="DM723" s="1444"/>
      <c r="DN723" s="1444"/>
      <c r="DO723" s="1444">
        <f t="shared" si="24"/>
        <v>0</v>
      </c>
      <c r="DP723" s="1444"/>
      <c r="DQ723" s="1444"/>
      <c r="DR723" s="1444"/>
      <c r="DS723" s="1444"/>
      <c r="DT723" s="6"/>
      <c r="DU723" s="1445">
        <f t="shared" si="25"/>
        <v>0</v>
      </c>
      <c r="DV723" s="1445"/>
      <c r="DW723" s="1445"/>
      <c r="DX723" s="1445"/>
      <c r="DY723" s="1445"/>
      <c r="DZ723" s="1445">
        <f t="shared" si="26"/>
        <v>0</v>
      </c>
      <c r="EA723" s="1445"/>
      <c r="EB723" s="1445"/>
      <c r="EC723" s="1445"/>
      <c r="ED723" s="1445"/>
      <c r="EE723" s="1445">
        <f t="shared" si="27"/>
        <v>0</v>
      </c>
      <c r="EF723" s="1445"/>
      <c r="EG723" s="1445"/>
      <c r="EH723" s="1445"/>
      <c r="EI723" s="1445"/>
      <c r="EJ723" s="1445">
        <f t="shared" si="28"/>
        <v>0</v>
      </c>
      <c r="EK723" s="1445"/>
      <c r="EL723" s="1445"/>
      <c r="EM723" s="1445"/>
      <c r="EN723" s="1445"/>
      <c r="EO723" s="1445">
        <f t="shared" si="29"/>
        <v>0</v>
      </c>
      <c r="EP723" s="1445"/>
      <c r="EQ723" s="1445"/>
      <c r="ER723" s="1445"/>
      <c r="ES723" s="1445"/>
      <c r="ET723" s="1445">
        <f t="shared" si="30"/>
        <v>0</v>
      </c>
      <c r="EU723" s="1445"/>
      <c r="EV723" s="1445"/>
      <c r="EW723" s="1445"/>
      <c r="EX723" s="1445"/>
      <c r="EZ723" s="1464" t="str">
        <f t="shared" si="31"/>
        <v/>
      </c>
      <c r="FA723" s="1466"/>
      <c r="FB723" s="1466"/>
      <c r="FC723" s="1466"/>
      <c r="FD723" s="1465"/>
      <c r="FE723" s="1464" t="str">
        <f t="shared" si="32"/>
        <v/>
      </c>
      <c r="FF723" s="1466"/>
      <c r="FG723" s="1466"/>
      <c r="FH723" s="1466"/>
      <c r="FI723" s="1465"/>
      <c r="FJ723" s="1464" t="str">
        <f t="shared" si="33"/>
        <v/>
      </c>
      <c r="FK723" s="1466"/>
      <c r="FL723" s="1466"/>
      <c r="FM723" s="1466"/>
      <c r="FN723" s="1465"/>
      <c r="FO723" s="1464" t="str">
        <f t="shared" si="34"/>
        <v/>
      </c>
      <c r="FP723" s="1466"/>
      <c r="FQ723" s="1466"/>
      <c r="FR723" s="1466"/>
      <c r="FS723" s="1465"/>
      <c r="FT723" s="1464" t="str">
        <f t="shared" si="35"/>
        <v/>
      </c>
      <c r="FU723" s="1466"/>
      <c r="FV723" s="1466"/>
      <c r="FW723" s="1466"/>
      <c r="FX723" s="1465"/>
      <c r="FY723" s="1464" t="str">
        <f t="shared" si="36"/>
        <v/>
      </c>
      <c r="FZ723" s="1466"/>
      <c r="GA723" s="1466"/>
      <c r="GB723" s="1466"/>
      <c r="GC723" s="1465"/>
    </row>
    <row r="724" spans="1:185" ht="12.95" customHeight="1">
      <c r="B724" s="1337"/>
      <c r="C724" s="1338"/>
      <c r="D724" s="1338"/>
      <c r="E724" s="1338"/>
      <c r="F724" s="1339"/>
      <c r="G724" s="1350"/>
      <c r="H724" s="1351"/>
      <c r="I724" s="1351"/>
      <c r="J724" s="1352"/>
      <c r="K724" s="1343"/>
      <c r="L724" s="1344"/>
      <c r="M724" s="1344"/>
      <c r="N724" s="1345"/>
      <c r="O724" s="1340"/>
      <c r="P724" s="1341"/>
      <c r="Q724" s="1341"/>
      <c r="R724" s="1341"/>
      <c r="S724" s="1342"/>
      <c r="T724" s="1340"/>
      <c r="U724" s="1341"/>
      <c r="V724" s="1341"/>
      <c r="W724" s="1342"/>
      <c r="X724" s="1353">
        <f t="shared" si="9"/>
        <v>0</v>
      </c>
      <c r="Y724" s="1354"/>
      <c r="Z724" s="1354"/>
      <c r="AA724" s="1354"/>
      <c r="AB724" s="1355"/>
      <c r="AC724" s="1360"/>
      <c r="AD724" s="1361"/>
      <c r="AE724" s="1361"/>
      <c r="AF724" s="1361"/>
      <c r="AG724" s="1362"/>
      <c r="AH724" s="1356" t="str">
        <f t="shared" si="37"/>
        <v/>
      </c>
      <c r="AI724" s="1357"/>
      <c r="AJ724" s="1358"/>
      <c r="AK724" s="1337" t="s">
        <v>591</v>
      </c>
      <c r="AL724" s="1338"/>
      <c r="AM724" s="1338"/>
      <c r="AN724" s="1338"/>
      <c r="AO724" s="1339"/>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464">
        <f t="shared" si="38"/>
        <v>0</v>
      </c>
      <c r="CH724" s="1465"/>
      <c r="CI724" s="1470">
        <f t="shared" si="39"/>
        <v>0</v>
      </c>
      <c r="CJ724" s="1471"/>
      <c r="CK724" s="1464">
        <f t="shared" si="17"/>
        <v>0</v>
      </c>
      <c r="CL724" s="1465"/>
      <c r="CM724" s="1470">
        <f t="shared" si="18"/>
        <v>0</v>
      </c>
      <c r="CN724" s="1471"/>
      <c r="CO724" s="3"/>
      <c r="CP724" s="1459">
        <f t="shared" si="19"/>
        <v>0</v>
      </c>
      <c r="CQ724" s="1460"/>
      <c r="CR724" s="1460"/>
      <c r="CS724" s="1460"/>
      <c r="CT724" s="1461"/>
      <c r="CU724" s="1444">
        <f t="shared" si="20"/>
        <v>0</v>
      </c>
      <c r="CV724" s="1444"/>
      <c r="CW724" s="1444"/>
      <c r="CX724" s="1444"/>
      <c r="CY724" s="1444"/>
      <c r="CZ724" s="1444">
        <f t="shared" si="21"/>
        <v>0</v>
      </c>
      <c r="DA724" s="1444"/>
      <c r="DB724" s="1444"/>
      <c r="DC724" s="1444"/>
      <c r="DD724" s="1444"/>
      <c r="DE724" s="1444">
        <f t="shared" si="22"/>
        <v>0</v>
      </c>
      <c r="DF724" s="1444"/>
      <c r="DG724" s="1444"/>
      <c r="DH724" s="1444"/>
      <c r="DI724" s="1444"/>
      <c r="DJ724" s="1444">
        <f t="shared" si="23"/>
        <v>0</v>
      </c>
      <c r="DK724" s="1444"/>
      <c r="DL724" s="1444"/>
      <c r="DM724" s="1444"/>
      <c r="DN724" s="1444"/>
      <c r="DO724" s="1444">
        <f t="shared" si="24"/>
        <v>0</v>
      </c>
      <c r="DP724" s="1444"/>
      <c r="DQ724" s="1444"/>
      <c r="DR724" s="1444"/>
      <c r="DS724" s="1444"/>
      <c r="DT724" s="6"/>
      <c r="DU724" s="1445">
        <f t="shared" si="25"/>
        <v>0</v>
      </c>
      <c r="DV724" s="1445"/>
      <c r="DW724" s="1445"/>
      <c r="DX724" s="1445"/>
      <c r="DY724" s="1445"/>
      <c r="DZ724" s="1445">
        <f t="shared" si="26"/>
        <v>0</v>
      </c>
      <c r="EA724" s="1445"/>
      <c r="EB724" s="1445"/>
      <c r="EC724" s="1445"/>
      <c r="ED724" s="1445"/>
      <c r="EE724" s="1445">
        <f t="shared" si="27"/>
        <v>0</v>
      </c>
      <c r="EF724" s="1445"/>
      <c r="EG724" s="1445"/>
      <c r="EH724" s="1445"/>
      <c r="EI724" s="1445"/>
      <c r="EJ724" s="1445">
        <f t="shared" si="28"/>
        <v>0</v>
      </c>
      <c r="EK724" s="1445"/>
      <c r="EL724" s="1445"/>
      <c r="EM724" s="1445"/>
      <c r="EN724" s="1445"/>
      <c r="EO724" s="1445">
        <f t="shared" si="29"/>
        <v>0</v>
      </c>
      <c r="EP724" s="1445"/>
      <c r="EQ724" s="1445"/>
      <c r="ER724" s="1445"/>
      <c r="ES724" s="1445"/>
      <c r="ET724" s="1445">
        <f t="shared" si="30"/>
        <v>0</v>
      </c>
      <c r="EU724" s="1445"/>
      <c r="EV724" s="1445"/>
      <c r="EW724" s="1445"/>
      <c r="EX724" s="1445"/>
      <c r="EZ724" s="1464" t="str">
        <f t="shared" si="31"/>
        <v/>
      </c>
      <c r="FA724" s="1466"/>
      <c r="FB724" s="1466"/>
      <c r="FC724" s="1466"/>
      <c r="FD724" s="1465"/>
      <c r="FE724" s="1464" t="str">
        <f t="shared" si="32"/>
        <v/>
      </c>
      <c r="FF724" s="1466"/>
      <c r="FG724" s="1466"/>
      <c r="FH724" s="1466"/>
      <c r="FI724" s="1465"/>
      <c r="FJ724" s="1464" t="str">
        <f t="shared" si="33"/>
        <v/>
      </c>
      <c r="FK724" s="1466"/>
      <c r="FL724" s="1466"/>
      <c r="FM724" s="1466"/>
      <c r="FN724" s="1465"/>
      <c r="FO724" s="1464" t="str">
        <f t="shared" si="34"/>
        <v/>
      </c>
      <c r="FP724" s="1466"/>
      <c r="FQ724" s="1466"/>
      <c r="FR724" s="1466"/>
      <c r="FS724" s="1465"/>
      <c r="FT724" s="1464" t="str">
        <f t="shared" si="35"/>
        <v/>
      </c>
      <c r="FU724" s="1466"/>
      <c r="FV724" s="1466"/>
      <c r="FW724" s="1466"/>
      <c r="FX724" s="1465"/>
      <c r="FY724" s="1464" t="str">
        <f t="shared" si="36"/>
        <v/>
      </c>
      <c r="FZ724" s="1466"/>
      <c r="GA724" s="1466"/>
      <c r="GB724" s="1466"/>
      <c r="GC724" s="1465"/>
    </row>
    <row r="725" spans="1:185" ht="12.95" customHeight="1">
      <c r="B725" s="1337"/>
      <c r="C725" s="1338"/>
      <c r="D725" s="1338"/>
      <c r="E725" s="1338"/>
      <c r="F725" s="1339"/>
      <c r="G725" s="1350"/>
      <c r="H725" s="1351"/>
      <c r="I725" s="1351"/>
      <c r="J725" s="1352"/>
      <c r="K725" s="1343"/>
      <c r="L725" s="1344"/>
      <c r="M725" s="1344"/>
      <c r="N725" s="1345"/>
      <c r="O725" s="1340"/>
      <c r="P725" s="1341"/>
      <c r="Q725" s="1341"/>
      <c r="R725" s="1341"/>
      <c r="S725" s="1342"/>
      <c r="T725" s="1340"/>
      <c r="U725" s="1341"/>
      <c r="V725" s="1341"/>
      <c r="W725" s="1342"/>
      <c r="X725" s="1353">
        <f t="shared" si="9"/>
        <v>0</v>
      </c>
      <c r="Y725" s="1354"/>
      <c r="Z725" s="1354"/>
      <c r="AA725" s="1354"/>
      <c r="AB725" s="1355"/>
      <c r="AC725" s="1360"/>
      <c r="AD725" s="1361"/>
      <c r="AE725" s="1361"/>
      <c r="AF725" s="1361"/>
      <c r="AG725" s="1362"/>
      <c r="AH725" s="1356" t="str">
        <f t="shared" si="37"/>
        <v/>
      </c>
      <c r="AI725" s="1357"/>
      <c r="AJ725" s="1358"/>
      <c r="AK725" s="1337" t="s">
        <v>591</v>
      </c>
      <c r="AL725" s="1338"/>
      <c r="AM725" s="1338"/>
      <c r="AN725" s="1338"/>
      <c r="AO725" s="1339"/>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464">
        <f t="shared" si="38"/>
        <v>0</v>
      </c>
      <c r="CH725" s="1465"/>
      <c r="CI725" s="1470">
        <f t="shared" si="39"/>
        <v>0</v>
      </c>
      <c r="CJ725" s="1471"/>
      <c r="CK725" s="1464">
        <f t="shared" si="17"/>
        <v>0</v>
      </c>
      <c r="CL725" s="1465"/>
      <c r="CM725" s="1470">
        <f t="shared" si="18"/>
        <v>0</v>
      </c>
      <c r="CN725" s="1471"/>
      <c r="CO725" s="3"/>
      <c r="CP725" s="1459">
        <f t="shared" si="19"/>
        <v>0</v>
      </c>
      <c r="CQ725" s="1460"/>
      <c r="CR725" s="1460"/>
      <c r="CS725" s="1460"/>
      <c r="CT725" s="1461"/>
      <c r="CU725" s="1444">
        <f t="shared" si="20"/>
        <v>0</v>
      </c>
      <c r="CV725" s="1444"/>
      <c r="CW725" s="1444"/>
      <c r="CX725" s="1444"/>
      <c r="CY725" s="1444"/>
      <c r="CZ725" s="1444">
        <f t="shared" si="21"/>
        <v>0</v>
      </c>
      <c r="DA725" s="1444"/>
      <c r="DB725" s="1444"/>
      <c r="DC725" s="1444"/>
      <c r="DD725" s="1444"/>
      <c r="DE725" s="1444">
        <f t="shared" si="22"/>
        <v>0</v>
      </c>
      <c r="DF725" s="1444"/>
      <c r="DG725" s="1444"/>
      <c r="DH725" s="1444"/>
      <c r="DI725" s="1444"/>
      <c r="DJ725" s="1444">
        <f t="shared" si="23"/>
        <v>0</v>
      </c>
      <c r="DK725" s="1444"/>
      <c r="DL725" s="1444"/>
      <c r="DM725" s="1444"/>
      <c r="DN725" s="1444"/>
      <c r="DO725" s="1444">
        <f t="shared" si="24"/>
        <v>0</v>
      </c>
      <c r="DP725" s="1444"/>
      <c r="DQ725" s="1444"/>
      <c r="DR725" s="1444"/>
      <c r="DS725" s="1444"/>
      <c r="DT725" s="6"/>
      <c r="DU725" s="1445">
        <f t="shared" si="25"/>
        <v>0</v>
      </c>
      <c r="DV725" s="1445"/>
      <c r="DW725" s="1445"/>
      <c r="DX725" s="1445"/>
      <c r="DY725" s="1445"/>
      <c r="DZ725" s="1445">
        <f t="shared" si="26"/>
        <v>0</v>
      </c>
      <c r="EA725" s="1445"/>
      <c r="EB725" s="1445"/>
      <c r="EC725" s="1445"/>
      <c r="ED725" s="1445"/>
      <c r="EE725" s="1445">
        <f t="shared" si="27"/>
        <v>0</v>
      </c>
      <c r="EF725" s="1445"/>
      <c r="EG725" s="1445"/>
      <c r="EH725" s="1445"/>
      <c r="EI725" s="1445"/>
      <c r="EJ725" s="1445">
        <f t="shared" si="28"/>
        <v>0</v>
      </c>
      <c r="EK725" s="1445"/>
      <c r="EL725" s="1445"/>
      <c r="EM725" s="1445"/>
      <c r="EN725" s="1445"/>
      <c r="EO725" s="1445">
        <f t="shared" si="29"/>
        <v>0</v>
      </c>
      <c r="EP725" s="1445"/>
      <c r="EQ725" s="1445"/>
      <c r="ER725" s="1445"/>
      <c r="ES725" s="1445"/>
      <c r="ET725" s="1445">
        <f t="shared" si="30"/>
        <v>0</v>
      </c>
      <c r="EU725" s="1445"/>
      <c r="EV725" s="1445"/>
      <c r="EW725" s="1445"/>
      <c r="EX725" s="1445"/>
      <c r="EZ725" s="1464" t="str">
        <f t="shared" si="31"/>
        <v/>
      </c>
      <c r="FA725" s="1466"/>
      <c r="FB725" s="1466"/>
      <c r="FC725" s="1466"/>
      <c r="FD725" s="1465"/>
      <c r="FE725" s="1464" t="str">
        <f t="shared" si="32"/>
        <v/>
      </c>
      <c r="FF725" s="1466"/>
      <c r="FG725" s="1466"/>
      <c r="FH725" s="1466"/>
      <c r="FI725" s="1465"/>
      <c r="FJ725" s="1464" t="str">
        <f t="shared" si="33"/>
        <v/>
      </c>
      <c r="FK725" s="1466"/>
      <c r="FL725" s="1466"/>
      <c r="FM725" s="1466"/>
      <c r="FN725" s="1465"/>
      <c r="FO725" s="1464" t="str">
        <f t="shared" si="34"/>
        <v/>
      </c>
      <c r="FP725" s="1466"/>
      <c r="FQ725" s="1466"/>
      <c r="FR725" s="1466"/>
      <c r="FS725" s="1465"/>
      <c r="FT725" s="1464" t="str">
        <f t="shared" si="35"/>
        <v/>
      </c>
      <c r="FU725" s="1466"/>
      <c r="FV725" s="1466"/>
      <c r="FW725" s="1466"/>
      <c r="FX725" s="1465"/>
      <c r="FY725" s="1464" t="str">
        <f t="shared" si="36"/>
        <v/>
      </c>
      <c r="FZ725" s="1466"/>
      <c r="GA725" s="1466"/>
      <c r="GB725" s="1466"/>
      <c r="GC725" s="1465"/>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9"/>
        <v>0</v>
      </c>
      <c r="Y726" s="1354"/>
      <c r="Z726" s="1354"/>
      <c r="AA726" s="1354"/>
      <c r="AB726" s="1355"/>
      <c r="AC726" s="1360"/>
      <c r="AD726" s="1361"/>
      <c r="AE726" s="1361"/>
      <c r="AF726" s="1361"/>
      <c r="AG726" s="1362"/>
      <c r="AH726" s="1356" t="str">
        <f t="shared" si="37"/>
        <v/>
      </c>
      <c r="AI726" s="1357"/>
      <c r="AJ726" s="1358"/>
      <c r="AK726" s="1337" t="s">
        <v>591</v>
      </c>
      <c r="AL726" s="1338"/>
      <c r="AM726" s="1338"/>
      <c r="AN726" s="1338"/>
      <c r="AO726" s="1339"/>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464">
        <f t="shared" si="38"/>
        <v>0</v>
      </c>
      <c r="CH726" s="1465"/>
      <c r="CI726" s="1470">
        <f t="shared" si="39"/>
        <v>0</v>
      </c>
      <c r="CJ726" s="1471"/>
      <c r="CK726" s="1464">
        <f t="shared" si="17"/>
        <v>0</v>
      </c>
      <c r="CL726" s="1465"/>
      <c r="CM726" s="1470">
        <f t="shared" si="18"/>
        <v>0</v>
      </c>
      <c r="CN726" s="1471"/>
      <c r="CO726" s="3"/>
      <c r="CP726" s="1459">
        <f t="shared" si="19"/>
        <v>0</v>
      </c>
      <c r="CQ726" s="1460"/>
      <c r="CR726" s="1460"/>
      <c r="CS726" s="1460"/>
      <c r="CT726" s="1461"/>
      <c r="CU726" s="1444">
        <f t="shared" si="20"/>
        <v>0</v>
      </c>
      <c r="CV726" s="1444"/>
      <c r="CW726" s="1444"/>
      <c r="CX726" s="1444"/>
      <c r="CY726" s="1444"/>
      <c r="CZ726" s="1444">
        <f t="shared" si="21"/>
        <v>0</v>
      </c>
      <c r="DA726" s="1444"/>
      <c r="DB726" s="1444"/>
      <c r="DC726" s="1444"/>
      <c r="DD726" s="1444"/>
      <c r="DE726" s="1444">
        <f t="shared" si="22"/>
        <v>0</v>
      </c>
      <c r="DF726" s="1444"/>
      <c r="DG726" s="1444"/>
      <c r="DH726" s="1444"/>
      <c r="DI726" s="1444"/>
      <c r="DJ726" s="1444">
        <f t="shared" si="23"/>
        <v>0</v>
      </c>
      <c r="DK726" s="1444"/>
      <c r="DL726" s="1444"/>
      <c r="DM726" s="1444"/>
      <c r="DN726" s="1444"/>
      <c r="DO726" s="1444">
        <f t="shared" si="24"/>
        <v>0</v>
      </c>
      <c r="DP726" s="1444"/>
      <c r="DQ726" s="1444"/>
      <c r="DR726" s="1444"/>
      <c r="DS726" s="1444"/>
      <c r="DT726" s="6"/>
      <c r="DU726" s="1445">
        <f t="shared" si="25"/>
        <v>0</v>
      </c>
      <c r="DV726" s="1445"/>
      <c r="DW726" s="1445"/>
      <c r="DX726" s="1445"/>
      <c r="DY726" s="1445"/>
      <c r="DZ726" s="1445">
        <f t="shared" si="26"/>
        <v>0</v>
      </c>
      <c r="EA726" s="1445"/>
      <c r="EB726" s="1445"/>
      <c r="EC726" s="1445"/>
      <c r="ED726" s="1445"/>
      <c r="EE726" s="1445">
        <f t="shared" si="27"/>
        <v>0</v>
      </c>
      <c r="EF726" s="1445"/>
      <c r="EG726" s="1445"/>
      <c r="EH726" s="1445"/>
      <c r="EI726" s="1445"/>
      <c r="EJ726" s="1445">
        <f t="shared" si="28"/>
        <v>0</v>
      </c>
      <c r="EK726" s="1445"/>
      <c r="EL726" s="1445"/>
      <c r="EM726" s="1445"/>
      <c r="EN726" s="1445"/>
      <c r="EO726" s="1445">
        <f t="shared" si="29"/>
        <v>0</v>
      </c>
      <c r="EP726" s="1445"/>
      <c r="EQ726" s="1445"/>
      <c r="ER726" s="1445"/>
      <c r="ES726" s="1445"/>
      <c r="ET726" s="1445">
        <f t="shared" si="30"/>
        <v>0</v>
      </c>
      <c r="EU726" s="1445"/>
      <c r="EV726" s="1445"/>
      <c r="EW726" s="1445"/>
      <c r="EX726" s="1445"/>
      <c r="EY726" s="4"/>
      <c r="EZ726" s="1464" t="str">
        <f t="shared" si="31"/>
        <v/>
      </c>
      <c r="FA726" s="1466"/>
      <c r="FB726" s="1466"/>
      <c r="FC726" s="1466"/>
      <c r="FD726" s="1465"/>
      <c r="FE726" s="1464" t="str">
        <f t="shared" si="32"/>
        <v/>
      </c>
      <c r="FF726" s="1466"/>
      <c r="FG726" s="1466"/>
      <c r="FH726" s="1466"/>
      <c r="FI726" s="1465"/>
      <c r="FJ726" s="1464" t="str">
        <f t="shared" si="33"/>
        <v/>
      </c>
      <c r="FK726" s="1466"/>
      <c r="FL726" s="1466"/>
      <c r="FM726" s="1466"/>
      <c r="FN726" s="1465"/>
      <c r="FO726" s="1464" t="str">
        <f t="shared" si="34"/>
        <v/>
      </c>
      <c r="FP726" s="1466"/>
      <c r="FQ726" s="1466"/>
      <c r="FR726" s="1466"/>
      <c r="FS726" s="1465"/>
      <c r="FT726" s="1464" t="str">
        <f t="shared" si="35"/>
        <v/>
      </c>
      <c r="FU726" s="1466"/>
      <c r="FV726" s="1466"/>
      <c r="FW726" s="1466"/>
      <c r="FX726" s="1465"/>
      <c r="FY726" s="1464" t="str">
        <f t="shared" si="36"/>
        <v/>
      </c>
      <c r="FZ726" s="1466"/>
      <c r="GA726" s="1466"/>
      <c r="GB726" s="1466"/>
      <c r="GC726" s="1465"/>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9"/>
        <v>0</v>
      </c>
      <c r="Y727" s="1354"/>
      <c r="Z727" s="1354"/>
      <c r="AA727" s="1354"/>
      <c r="AB727" s="1355"/>
      <c r="AC727" s="1360"/>
      <c r="AD727" s="1361"/>
      <c r="AE727" s="1361"/>
      <c r="AF727" s="1361"/>
      <c r="AG727" s="1362"/>
      <c r="AH727" s="1356" t="str">
        <f t="shared" si="37"/>
        <v/>
      </c>
      <c r="AI727" s="1357"/>
      <c r="AJ727" s="1358"/>
      <c r="AK727" s="1337" t="s">
        <v>591</v>
      </c>
      <c r="AL727" s="1338"/>
      <c r="AM727" s="1338"/>
      <c r="AN727" s="1338"/>
      <c r="AO727" s="1339"/>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4">
        <f t="shared" si="38"/>
        <v>0</v>
      </c>
      <c r="CH727" s="1465"/>
      <c r="CI727" s="1470">
        <f t="shared" si="39"/>
        <v>0</v>
      </c>
      <c r="CJ727" s="1471"/>
      <c r="CK727" s="1464">
        <f t="shared" si="17"/>
        <v>0</v>
      </c>
      <c r="CL727" s="1465"/>
      <c r="CM727" s="1470">
        <f t="shared" si="18"/>
        <v>0</v>
      </c>
      <c r="CN727" s="1471"/>
      <c r="CO727" s="3"/>
      <c r="CP727" s="1459">
        <f t="shared" si="19"/>
        <v>0</v>
      </c>
      <c r="CQ727" s="1460"/>
      <c r="CR727" s="1460"/>
      <c r="CS727" s="1460"/>
      <c r="CT727" s="1461"/>
      <c r="CU727" s="1444">
        <f t="shared" si="20"/>
        <v>0</v>
      </c>
      <c r="CV727" s="1444"/>
      <c r="CW727" s="1444"/>
      <c r="CX727" s="1444"/>
      <c r="CY727" s="1444"/>
      <c r="CZ727" s="1444">
        <f t="shared" si="21"/>
        <v>0</v>
      </c>
      <c r="DA727" s="1444"/>
      <c r="DB727" s="1444"/>
      <c r="DC727" s="1444"/>
      <c r="DD727" s="1444"/>
      <c r="DE727" s="1444">
        <f t="shared" si="22"/>
        <v>0</v>
      </c>
      <c r="DF727" s="1444"/>
      <c r="DG727" s="1444"/>
      <c r="DH727" s="1444"/>
      <c r="DI727" s="1444"/>
      <c r="DJ727" s="1444">
        <f t="shared" si="23"/>
        <v>0</v>
      </c>
      <c r="DK727" s="1444"/>
      <c r="DL727" s="1444"/>
      <c r="DM727" s="1444"/>
      <c r="DN727" s="1444"/>
      <c r="DO727" s="1444">
        <f t="shared" si="24"/>
        <v>0</v>
      </c>
      <c r="DP727" s="1444"/>
      <c r="DQ727" s="1444"/>
      <c r="DR727" s="1444"/>
      <c r="DS727" s="1444"/>
      <c r="DT727" s="6"/>
      <c r="DU727" s="1445">
        <f t="shared" si="25"/>
        <v>0</v>
      </c>
      <c r="DV727" s="1445"/>
      <c r="DW727" s="1445"/>
      <c r="DX727" s="1445"/>
      <c r="DY727" s="1445"/>
      <c r="DZ727" s="1445">
        <f t="shared" si="26"/>
        <v>0</v>
      </c>
      <c r="EA727" s="1445"/>
      <c r="EB727" s="1445"/>
      <c r="EC727" s="1445"/>
      <c r="ED727" s="1445"/>
      <c r="EE727" s="1445">
        <f t="shared" si="27"/>
        <v>0</v>
      </c>
      <c r="EF727" s="1445"/>
      <c r="EG727" s="1445"/>
      <c r="EH727" s="1445"/>
      <c r="EI727" s="1445"/>
      <c r="EJ727" s="1445">
        <f t="shared" si="28"/>
        <v>0</v>
      </c>
      <c r="EK727" s="1445"/>
      <c r="EL727" s="1445"/>
      <c r="EM727" s="1445"/>
      <c r="EN727" s="1445"/>
      <c r="EO727" s="1445">
        <f t="shared" si="29"/>
        <v>0</v>
      </c>
      <c r="EP727" s="1445"/>
      <c r="EQ727" s="1445"/>
      <c r="ER727" s="1445"/>
      <c r="ES727" s="1445"/>
      <c r="ET727" s="1445">
        <f t="shared" si="30"/>
        <v>0</v>
      </c>
      <c r="EU727" s="1445"/>
      <c r="EV727" s="1445"/>
      <c r="EW727" s="1445"/>
      <c r="EX727" s="1445"/>
      <c r="EY727" s="4"/>
      <c r="EZ727" s="1464" t="str">
        <f t="shared" si="31"/>
        <v/>
      </c>
      <c r="FA727" s="1466"/>
      <c r="FB727" s="1466"/>
      <c r="FC727" s="1466"/>
      <c r="FD727" s="1465"/>
      <c r="FE727" s="1464" t="str">
        <f t="shared" si="32"/>
        <v/>
      </c>
      <c r="FF727" s="1466"/>
      <c r="FG727" s="1466"/>
      <c r="FH727" s="1466"/>
      <c r="FI727" s="1465"/>
      <c r="FJ727" s="1464" t="str">
        <f t="shared" si="33"/>
        <v/>
      </c>
      <c r="FK727" s="1466"/>
      <c r="FL727" s="1466"/>
      <c r="FM727" s="1466"/>
      <c r="FN727" s="1465"/>
      <c r="FO727" s="1464" t="str">
        <f t="shared" si="34"/>
        <v/>
      </c>
      <c r="FP727" s="1466"/>
      <c r="FQ727" s="1466"/>
      <c r="FR727" s="1466"/>
      <c r="FS727" s="1465"/>
      <c r="FT727" s="1464" t="str">
        <f t="shared" si="35"/>
        <v/>
      </c>
      <c r="FU727" s="1466"/>
      <c r="FV727" s="1466"/>
      <c r="FW727" s="1466"/>
      <c r="FX727" s="1465"/>
      <c r="FY727" s="1464" t="str">
        <f t="shared" si="36"/>
        <v/>
      </c>
      <c r="FZ727" s="1466"/>
      <c r="GA727" s="1466"/>
      <c r="GB727" s="1466"/>
      <c r="GC727" s="1465"/>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9"/>
        <v>0</v>
      </c>
      <c r="Y728" s="1354"/>
      <c r="Z728" s="1354"/>
      <c r="AA728" s="1354"/>
      <c r="AB728" s="1355"/>
      <c r="AC728" s="1360"/>
      <c r="AD728" s="1361"/>
      <c r="AE728" s="1361"/>
      <c r="AF728" s="1361"/>
      <c r="AG728" s="1362"/>
      <c r="AH728" s="1356" t="str">
        <f t="shared" si="37"/>
        <v/>
      </c>
      <c r="AI728" s="1357"/>
      <c r="AJ728" s="1358"/>
      <c r="AK728" s="1337" t="s">
        <v>591</v>
      </c>
      <c r="AL728" s="1338"/>
      <c r="AM728" s="1338"/>
      <c r="AN728" s="1338"/>
      <c r="AO728" s="1339"/>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4">
        <f t="shared" si="38"/>
        <v>0</v>
      </c>
      <c r="CH728" s="1465"/>
      <c r="CI728" s="1470">
        <f t="shared" si="39"/>
        <v>0</v>
      </c>
      <c r="CJ728" s="1471"/>
      <c r="CK728" s="1464">
        <f t="shared" si="17"/>
        <v>0</v>
      </c>
      <c r="CL728" s="1465"/>
      <c r="CM728" s="1470">
        <f t="shared" si="18"/>
        <v>0</v>
      </c>
      <c r="CN728" s="1471"/>
      <c r="CO728" s="3"/>
      <c r="CP728" s="1459">
        <f t="shared" si="19"/>
        <v>0</v>
      </c>
      <c r="CQ728" s="1460"/>
      <c r="CR728" s="1460"/>
      <c r="CS728" s="1460"/>
      <c r="CT728" s="1461"/>
      <c r="CU728" s="1444">
        <f t="shared" si="20"/>
        <v>0</v>
      </c>
      <c r="CV728" s="1444"/>
      <c r="CW728" s="1444"/>
      <c r="CX728" s="1444"/>
      <c r="CY728" s="1444"/>
      <c r="CZ728" s="1444">
        <f t="shared" si="21"/>
        <v>0</v>
      </c>
      <c r="DA728" s="1444"/>
      <c r="DB728" s="1444"/>
      <c r="DC728" s="1444"/>
      <c r="DD728" s="1444"/>
      <c r="DE728" s="1444">
        <f t="shared" si="22"/>
        <v>0</v>
      </c>
      <c r="DF728" s="1444"/>
      <c r="DG728" s="1444"/>
      <c r="DH728" s="1444"/>
      <c r="DI728" s="1444"/>
      <c r="DJ728" s="1444">
        <f t="shared" si="23"/>
        <v>0</v>
      </c>
      <c r="DK728" s="1444"/>
      <c r="DL728" s="1444"/>
      <c r="DM728" s="1444"/>
      <c r="DN728" s="1444"/>
      <c r="DO728" s="1444">
        <f t="shared" si="24"/>
        <v>0</v>
      </c>
      <c r="DP728" s="1444"/>
      <c r="DQ728" s="1444"/>
      <c r="DR728" s="1444"/>
      <c r="DS728" s="1444"/>
      <c r="DT728" s="6"/>
      <c r="DU728" s="1445">
        <f t="shared" si="25"/>
        <v>0</v>
      </c>
      <c r="DV728" s="1445"/>
      <c r="DW728" s="1445"/>
      <c r="DX728" s="1445"/>
      <c r="DY728" s="1445"/>
      <c r="DZ728" s="1445">
        <f t="shared" si="26"/>
        <v>0</v>
      </c>
      <c r="EA728" s="1445"/>
      <c r="EB728" s="1445"/>
      <c r="EC728" s="1445"/>
      <c r="ED728" s="1445"/>
      <c r="EE728" s="1445">
        <f t="shared" si="27"/>
        <v>0</v>
      </c>
      <c r="EF728" s="1445"/>
      <c r="EG728" s="1445"/>
      <c r="EH728" s="1445"/>
      <c r="EI728" s="1445"/>
      <c r="EJ728" s="1445">
        <f t="shared" si="28"/>
        <v>0</v>
      </c>
      <c r="EK728" s="1445"/>
      <c r="EL728" s="1445"/>
      <c r="EM728" s="1445"/>
      <c r="EN728" s="1445"/>
      <c r="EO728" s="1445">
        <f t="shared" si="29"/>
        <v>0</v>
      </c>
      <c r="EP728" s="1445"/>
      <c r="EQ728" s="1445"/>
      <c r="ER728" s="1445"/>
      <c r="ES728" s="1445"/>
      <c r="ET728" s="1445">
        <f t="shared" si="30"/>
        <v>0</v>
      </c>
      <c r="EU728" s="1445"/>
      <c r="EV728" s="1445"/>
      <c r="EW728" s="1445"/>
      <c r="EX728" s="1445"/>
      <c r="EY728" s="4"/>
      <c r="EZ728" s="1464" t="str">
        <f t="shared" si="31"/>
        <v/>
      </c>
      <c r="FA728" s="1466"/>
      <c r="FB728" s="1466"/>
      <c r="FC728" s="1466"/>
      <c r="FD728" s="1465"/>
      <c r="FE728" s="1464" t="str">
        <f t="shared" si="32"/>
        <v/>
      </c>
      <c r="FF728" s="1466"/>
      <c r="FG728" s="1466"/>
      <c r="FH728" s="1466"/>
      <c r="FI728" s="1465"/>
      <c r="FJ728" s="1464" t="str">
        <f t="shared" si="33"/>
        <v/>
      </c>
      <c r="FK728" s="1466"/>
      <c r="FL728" s="1466"/>
      <c r="FM728" s="1466"/>
      <c r="FN728" s="1465"/>
      <c r="FO728" s="1464" t="str">
        <f t="shared" si="34"/>
        <v/>
      </c>
      <c r="FP728" s="1466"/>
      <c r="FQ728" s="1466"/>
      <c r="FR728" s="1466"/>
      <c r="FS728" s="1465"/>
      <c r="FT728" s="1464" t="str">
        <f t="shared" si="35"/>
        <v/>
      </c>
      <c r="FU728" s="1466"/>
      <c r="FV728" s="1466"/>
      <c r="FW728" s="1466"/>
      <c r="FX728" s="1465"/>
      <c r="FY728" s="1464" t="str">
        <f t="shared" si="36"/>
        <v/>
      </c>
      <c r="FZ728" s="1466"/>
      <c r="GA728" s="1466"/>
      <c r="GB728" s="1466"/>
      <c r="GC728" s="1465"/>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9"/>
        <v>0</v>
      </c>
      <c r="Y729" s="1354"/>
      <c r="Z729" s="1354"/>
      <c r="AA729" s="1354"/>
      <c r="AB729" s="1355"/>
      <c r="AC729" s="1360"/>
      <c r="AD729" s="1361"/>
      <c r="AE729" s="1361"/>
      <c r="AF729" s="1361"/>
      <c r="AG729" s="1362"/>
      <c r="AH729" s="1356" t="str">
        <f t="shared" si="37"/>
        <v/>
      </c>
      <c r="AI729" s="1357"/>
      <c r="AJ729" s="1358"/>
      <c r="AK729" s="1337" t="s">
        <v>591</v>
      </c>
      <c r="AL729" s="1338"/>
      <c r="AM729" s="1338"/>
      <c r="AN729" s="1338"/>
      <c r="AO729" s="1339"/>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4">
        <f t="shared" si="38"/>
        <v>0</v>
      </c>
      <c r="CH729" s="1465"/>
      <c r="CI729" s="1470">
        <f t="shared" si="39"/>
        <v>0</v>
      </c>
      <c r="CJ729" s="1471"/>
      <c r="CK729" s="1464">
        <f t="shared" si="17"/>
        <v>0</v>
      </c>
      <c r="CL729" s="1465"/>
      <c r="CM729" s="1470">
        <f t="shared" si="18"/>
        <v>0</v>
      </c>
      <c r="CN729" s="1471"/>
      <c r="CO729" s="3"/>
      <c r="CP729" s="1459">
        <f t="shared" si="19"/>
        <v>0</v>
      </c>
      <c r="CQ729" s="1460"/>
      <c r="CR729" s="1460"/>
      <c r="CS729" s="1460"/>
      <c r="CT729" s="1461"/>
      <c r="CU729" s="1444">
        <f t="shared" si="20"/>
        <v>0</v>
      </c>
      <c r="CV729" s="1444"/>
      <c r="CW729" s="1444"/>
      <c r="CX729" s="1444"/>
      <c r="CY729" s="1444"/>
      <c r="CZ729" s="1444">
        <f t="shared" si="21"/>
        <v>0</v>
      </c>
      <c r="DA729" s="1444"/>
      <c r="DB729" s="1444"/>
      <c r="DC729" s="1444"/>
      <c r="DD729" s="1444"/>
      <c r="DE729" s="1444">
        <f t="shared" si="22"/>
        <v>0</v>
      </c>
      <c r="DF729" s="1444"/>
      <c r="DG729" s="1444"/>
      <c r="DH729" s="1444"/>
      <c r="DI729" s="1444"/>
      <c r="DJ729" s="1444">
        <f t="shared" si="23"/>
        <v>0</v>
      </c>
      <c r="DK729" s="1444"/>
      <c r="DL729" s="1444"/>
      <c r="DM729" s="1444"/>
      <c r="DN729" s="1444"/>
      <c r="DO729" s="1444">
        <f t="shared" si="24"/>
        <v>0</v>
      </c>
      <c r="DP729" s="1444"/>
      <c r="DQ729" s="1444"/>
      <c r="DR729" s="1444"/>
      <c r="DS729" s="1444"/>
      <c r="DT729" s="6"/>
      <c r="DU729" s="1445">
        <f t="shared" si="25"/>
        <v>0</v>
      </c>
      <c r="DV729" s="1445"/>
      <c r="DW729" s="1445"/>
      <c r="DX729" s="1445"/>
      <c r="DY729" s="1445"/>
      <c r="DZ729" s="1445">
        <f t="shared" si="26"/>
        <v>0</v>
      </c>
      <c r="EA729" s="1445"/>
      <c r="EB729" s="1445"/>
      <c r="EC729" s="1445"/>
      <c r="ED729" s="1445"/>
      <c r="EE729" s="1445">
        <f t="shared" si="27"/>
        <v>0</v>
      </c>
      <c r="EF729" s="1445"/>
      <c r="EG729" s="1445"/>
      <c r="EH729" s="1445"/>
      <c r="EI729" s="1445"/>
      <c r="EJ729" s="1445">
        <f t="shared" si="28"/>
        <v>0</v>
      </c>
      <c r="EK729" s="1445"/>
      <c r="EL729" s="1445"/>
      <c r="EM729" s="1445"/>
      <c r="EN729" s="1445"/>
      <c r="EO729" s="1445">
        <f t="shared" si="29"/>
        <v>0</v>
      </c>
      <c r="EP729" s="1445"/>
      <c r="EQ729" s="1445"/>
      <c r="ER729" s="1445"/>
      <c r="ES729" s="1445"/>
      <c r="ET729" s="1445">
        <f t="shared" si="30"/>
        <v>0</v>
      </c>
      <c r="EU729" s="1445"/>
      <c r="EV729" s="1445"/>
      <c r="EW729" s="1445"/>
      <c r="EX729" s="1445"/>
      <c r="EZ729" s="1464" t="str">
        <f t="shared" si="31"/>
        <v/>
      </c>
      <c r="FA729" s="1466"/>
      <c r="FB729" s="1466"/>
      <c r="FC729" s="1466"/>
      <c r="FD729" s="1465"/>
      <c r="FE729" s="1464" t="str">
        <f t="shared" si="32"/>
        <v/>
      </c>
      <c r="FF729" s="1466"/>
      <c r="FG729" s="1466"/>
      <c r="FH729" s="1466"/>
      <c r="FI729" s="1465"/>
      <c r="FJ729" s="1464" t="str">
        <f t="shared" si="33"/>
        <v/>
      </c>
      <c r="FK729" s="1466"/>
      <c r="FL729" s="1466"/>
      <c r="FM729" s="1466"/>
      <c r="FN729" s="1465"/>
      <c r="FO729" s="1464" t="str">
        <f t="shared" si="34"/>
        <v/>
      </c>
      <c r="FP729" s="1466"/>
      <c r="FQ729" s="1466"/>
      <c r="FR729" s="1466"/>
      <c r="FS729" s="1465"/>
      <c r="FT729" s="1464" t="str">
        <f t="shared" si="35"/>
        <v/>
      </c>
      <c r="FU729" s="1466"/>
      <c r="FV729" s="1466"/>
      <c r="FW729" s="1466"/>
      <c r="FX729" s="1465"/>
      <c r="FY729" s="1464" t="str">
        <f t="shared" si="36"/>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9"/>
        <v>0</v>
      </c>
      <c r="Y730" s="1354"/>
      <c r="Z730" s="1354"/>
      <c r="AA730" s="1354"/>
      <c r="AB730" s="1355"/>
      <c r="AC730" s="1360"/>
      <c r="AD730" s="1361"/>
      <c r="AE730" s="1361"/>
      <c r="AF730" s="1361"/>
      <c r="AG730" s="1362"/>
      <c r="AH730" s="1356" t="str">
        <f t="shared" si="37"/>
        <v/>
      </c>
      <c r="AI730" s="1357"/>
      <c r="AJ730" s="1358"/>
      <c r="AK730" s="1337" t="s">
        <v>591</v>
      </c>
      <c r="AL730" s="1338"/>
      <c r="AM730" s="1338"/>
      <c r="AN730" s="1338"/>
      <c r="AO730" s="1339"/>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4">
        <f t="shared" si="38"/>
        <v>0</v>
      </c>
      <c r="CH730" s="1465"/>
      <c r="CI730" s="1470">
        <f t="shared" si="39"/>
        <v>0</v>
      </c>
      <c r="CJ730" s="1471"/>
      <c r="CK730" s="1464">
        <f t="shared" si="17"/>
        <v>0</v>
      </c>
      <c r="CL730" s="1465"/>
      <c r="CM730" s="1470">
        <f t="shared" si="18"/>
        <v>0</v>
      </c>
      <c r="CN730" s="1471"/>
      <c r="CO730" s="3"/>
      <c r="CP730" s="1459">
        <f t="shared" si="19"/>
        <v>0</v>
      </c>
      <c r="CQ730" s="1460"/>
      <c r="CR730" s="1460"/>
      <c r="CS730" s="1460"/>
      <c r="CT730" s="1461"/>
      <c r="CU730" s="1444">
        <f t="shared" si="20"/>
        <v>0</v>
      </c>
      <c r="CV730" s="1444"/>
      <c r="CW730" s="1444"/>
      <c r="CX730" s="1444"/>
      <c r="CY730" s="1444"/>
      <c r="CZ730" s="1444">
        <f t="shared" si="21"/>
        <v>0</v>
      </c>
      <c r="DA730" s="1444"/>
      <c r="DB730" s="1444"/>
      <c r="DC730" s="1444"/>
      <c r="DD730" s="1444"/>
      <c r="DE730" s="1444">
        <f t="shared" si="22"/>
        <v>0</v>
      </c>
      <c r="DF730" s="1444"/>
      <c r="DG730" s="1444"/>
      <c r="DH730" s="1444"/>
      <c r="DI730" s="1444"/>
      <c r="DJ730" s="1444">
        <f t="shared" si="23"/>
        <v>0</v>
      </c>
      <c r="DK730" s="1444"/>
      <c r="DL730" s="1444"/>
      <c r="DM730" s="1444"/>
      <c r="DN730" s="1444"/>
      <c r="DO730" s="1444">
        <f t="shared" si="24"/>
        <v>0</v>
      </c>
      <c r="DP730" s="1444"/>
      <c r="DQ730" s="1444"/>
      <c r="DR730" s="1444"/>
      <c r="DS730" s="1444"/>
      <c r="DT730" s="6"/>
      <c r="DU730" s="1445">
        <f t="shared" si="25"/>
        <v>0</v>
      </c>
      <c r="DV730" s="1445"/>
      <c r="DW730" s="1445"/>
      <c r="DX730" s="1445"/>
      <c r="DY730" s="1445"/>
      <c r="DZ730" s="1445">
        <f t="shared" si="26"/>
        <v>0</v>
      </c>
      <c r="EA730" s="1445"/>
      <c r="EB730" s="1445"/>
      <c r="EC730" s="1445"/>
      <c r="ED730" s="1445"/>
      <c r="EE730" s="1445">
        <f t="shared" si="27"/>
        <v>0</v>
      </c>
      <c r="EF730" s="1445"/>
      <c r="EG730" s="1445"/>
      <c r="EH730" s="1445"/>
      <c r="EI730" s="1445"/>
      <c r="EJ730" s="1445">
        <f t="shared" si="28"/>
        <v>0</v>
      </c>
      <c r="EK730" s="1445"/>
      <c r="EL730" s="1445"/>
      <c r="EM730" s="1445"/>
      <c r="EN730" s="1445"/>
      <c r="EO730" s="1445">
        <f t="shared" si="29"/>
        <v>0</v>
      </c>
      <c r="EP730" s="1445"/>
      <c r="EQ730" s="1445"/>
      <c r="ER730" s="1445"/>
      <c r="ES730" s="1445"/>
      <c r="ET730" s="1445">
        <f t="shared" si="30"/>
        <v>0</v>
      </c>
      <c r="EU730" s="1445"/>
      <c r="EV730" s="1445"/>
      <c r="EW730" s="1445"/>
      <c r="EX730" s="1445"/>
      <c r="EZ730" s="1464" t="str">
        <f t="shared" si="31"/>
        <v/>
      </c>
      <c r="FA730" s="1466"/>
      <c r="FB730" s="1466"/>
      <c r="FC730" s="1466"/>
      <c r="FD730" s="1465"/>
      <c r="FE730" s="1464" t="str">
        <f t="shared" si="32"/>
        <v/>
      </c>
      <c r="FF730" s="1466"/>
      <c r="FG730" s="1466"/>
      <c r="FH730" s="1466"/>
      <c r="FI730" s="1465"/>
      <c r="FJ730" s="1464" t="str">
        <f t="shared" si="33"/>
        <v/>
      </c>
      <c r="FK730" s="1466"/>
      <c r="FL730" s="1466"/>
      <c r="FM730" s="1466"/>
      <c r="FN730" s="1465"/>
      <c r="FO730" s="1464" t="str">
        <f t="shared" si="34"/>
        <v/>
      </c>
      <c r="FP730" s="1466"/>
      <c r="FQ730" s="1466"/>
      <c r="FR730" s="1466"/>
      <c r="FS730" s="1465"/>
      <c r="FT730" s="1464" t="str">
        <f t="shared" si="35"/>
        <v/>
      </c>
      <c r="FU730" s="1466"/>
      <c r="FV730" s="1466"/>
      <c r="FW730" s="1466"/>
      <c r="FX730" s="1465"/>
      <c r="FY730" s="1464" t="str">
        <f t="shared" si="36"/>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9"/>
        <v>0</v>
      </c>
      <c r="Y731" s="1354"/>
      <c r="Z731" s="1354"/>
      <c r="AA731" s="1354"/>
      <c r="AB731" s="1355"/>
      <c r="AC731" s="1360"/>
      <c r="AD731" s="1361"/>
      <c r="AE731" s="1361"/>
      <c r="AF731" s="1361"/>
      <c r="AG731" s="1362"/>
      <c r="AH731" s="1356" t="str">
        <f t="shared" si="37"/>
        <v/>
      </c>
      <c r="AI731" s="1357"/>
      <c r="AJ731" s="1358"/>
      <c r="AK731" s="1337" t="s">
        <v>591</v>
      </c>
      <c r="AL731" s="1338"/>
      <c r="AM731" s="1338"/>
      <c r="AN731" s="1338"/>
      <c r="AO731" s="1339"/>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4">
        <f t="shared" si="38"/>
        <v>0</v>
      </c>
      <c r="CH731" s="1465"/>
      <c r="CI731" s="1470">
        <f t="shared" si="39"/>
        <v>0</v>
      </c>
      <c r="CJ731" s="1471"/>
      <c r="CK731" s="1464">
        <f t="shared" si="17"/>
        <v>0</v>
      </c>
      <c r="CL731" s="1465"/>
      <c r="CM731" s="1470">
        <f t="shared" si="18"/>
        <v>0</v>
      </c>
      <c r="CN731" s="1471"/>
      <c r="CO731" s="3"/>
      <c r="CP731" s="1459">
        <f t="shared" si="19"/>
        <v>0</v>
      </c>
      <c r="CQ731" s="1460"/>
      <c r="CR731" s="1460"/>
      <c r="CS731" s="1460"/>
      <c r="CT731" s="1461"/>
      <c r="CU731" s="1444">
        <f t="shared" si="20"/>
        <v>0</v>
      </c>
      <c r="CV731" s="1444"/>
      <c r="CW731" s="1444"/>
      <c r="CX731" s="1444"/>
      <c r="CY731" s="1444"/>
      <c r="CZ731" s="1444">
        <f t="shared" si="21"/>
        <v>0</v>
      </c>
      <c r="DA731" s="1444"/>
      <c r="DB731" s="1444"/>
      <c r="DC731" s="1444"/>
      <c r="DD731" s="1444"/>
      <c r="DE731" s="1444">
        <f t="shared" si="22"/>
        <v>0</v>
      </c>
      <c r="DF731" s="1444"/>
      <c r="DG731" s="1444"/>
      <c r="DH731" s="1444"/>
      <c r="DI731" s="1444"/>
      <c r="DJ731" s="1444">
        <f t="shared" si="23"/>
        <v>0</v>
      </c>
      <c r="DK731" s="1444"/>
      <c r="DL731" s="1444"/>
      <c r="DM731" s="1444"/>
      <c r="DN731" s="1444"/>
      <c r="DO731" s="1444">
        <f t="shared" si="24"/>
        <v>0</v>
      </c>
      <c r="DP731" s="1444"/>
      <c r="DQ731" s="1444"/>
      <c r="DR731" s="1444"/>
      <c r="DS731" s="1444"/>
      <c r="DT731" s="6"/>
      <c r="DU731" s="1445">
        <f t="shared" si="25"/>
        <v>0</v>
      </c>
      <c r="DV731" s="1445"/>
      <c r="DW731" s="1445"/>
      <c r="DX731" s="1445"/>
      <c r="DY731" s="1445"/>
      <c r="DZ731" s="1445">
        <f t="shared" si="26"/>
        <v>0</v>
      </c>
      <c r="EA731" s="1445"/>
      <c r="EB731" s="1445"/>
      <c r="EC731" s="1445"/>
      <c r="ED731" s="1445"/>
      <c r="EE731" s="1445">
        <f t="shared" si="27"/>
        <v>0</v>
      </c>
      <c r="EF731" s="1445"/>
      <c r="EG731" s="1445"/>
      <c r="EH731" s="1445"/>
      <c r="EI731" s="1445"/>
      <c r="EJ731" s="1445">
        <f t="shared" si="28"/>
        <v>0</v>
      </c>
      <c r="EK731" s="1445"/>
      <c r="EL731" s="1445"/>
      <c r="EM731" s="1445"/>
      <c r="EN731" s="1445"/>
      <c r="EO731" s="1445">
        <f t="shared" si="29"/>
        <v>0</v>
      </c>
      <c r="EP731" s="1445"/>
      <c r="EQ731" s="1445"/>
      <c r="ER731" s="1445"/>
      <c r="ES731" s="1445"/>
      <c r="ET731" s="1445">
        <f t="shared" si="30"/>
        <v>0</v>
      </c>
      <c r="EU731" s="1445"/>
      <c r="EV731" s="1445"/>
      <c r="EW731" s="1445"/>
      <c r="EX731" s="1445"/>
      <c r="EZ731" s="1464" t="str">
        <f t="shared" si="31"/>
        <v/>
      </c>
      <c r="FA731" s="1466"/>
      <c r="FB731" s="1466"/>
      <c r="FC731" s="1466"/>
      <c r="FD731" s="1465"/>
      <c r="FE731" s="1464" t="str">
        <f t="shared" si="32"/>
        <v/>
      </c>
      <c r="FF731" s="1466"/>
      <c r="FG731" s="1466"/>
      <c r="FH731" s="1466"/>
      <c r="FI731" s="1465"/>
      <c r="FJ731" s="1464" t="str">
        <f t="shared" si="33"/>
        <v/>
      </c>
      <c r="FK731" s="1466"/>
      <c r="FL731" s="1466"/>
      <c r="FM731" s="1466"/>
      <c r="FN731" s="1465"/>
      <c r="FO731" s="1464" t="str">
        <f t="shared" si="34"/>
        <v/>
      </c>
      <c r="FP731" s="1466"/>
      <c r="FQ731" s="1466"/>
      <c r="FR731" s="1466"/>
      <c r="FS731" s="1465"/>
      <c r="FT731" s="1464" t="str">
        <f t="shared" si="35"/>
        <v/>
      </c>
      <c r="FU731" s="1466"/>
      <c r="FV731" s="1466"/>
      <c r="FW731" s="1466"/>
      <c r="FX731" s="1465"/>
      <c r="FY731" s="1464" t="str">
        <f t="shared" si="36"/>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9"/>
        <v>0</v>
      </c>
      <c r="Y732" s="1354"/>
      <c r="Z732" s="1354"/>
      <c r="AA732" s="1354"/>
      <c r="AB732" s="1355"/>
      <c r="AC732" s="1360"/>
      <c r="AD732" s="1361"/>
      <c r="AE732" s="1361"/>
      <c r="AF732" s="1361"/>
      <c r="AG732" s="1362"/>
      <c r="AH732" s="1356" t="str">
        <f t="shared" si="37"/>
        <v/>
      </c>
      <c r="AI732" s="1357"/>
      <c r="AJ732" s="1358"/>
      <c r="AK732" s="1337" t="s">
        <v>591</v>
      </c>
      <c r="AL732" s="1338"/>
      <c r="AM732" s="1338"/>
      <c r="AN732" s="1338"/>
      <c r="AO732" s="1339"/>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4">
        <f t="shared" si="38"/>
        <v>0</v>
      </c>
      <c r="CH732" s="1465"/>
      <c r="CI732" s="1470">
        <f t="shared" si="39"/>
        <v>0</v>
      </c>
      <c r="CJ732" s="1471"/>
      <c r="CK732" s="1464">
        <f t="shared" si="17"/>
        <v>0</v>
      </c>
      <c r="CL732" s="1465"/>
      <c r="CM732" s="1470">
        <f t="shared" si="18"/>
        <v>0</v>
      </c>
      <c r="CN732" s="1471"/>
      <c r="CO732" s="3"/>
      <c r="CP732" s="1459">
        <f t="shared" si="19"/>
        <v>0</v>
      </c>
      <c r="CQ732" s="1460"/>
      <c r="CR732" s="1460"/>
      <c r="CS732" s="1460"/>
      <c r="CT732" s="1461"/>
      <c r="CU732" s="1444">
        <f t="shared" si="20"/>
        <v>0</v>
      </c>
      <c r="CV732" s="1444"/>
      <c r="CW732" s="1444"/>
      <c r="CX732" s="1444"/>
      <c r="CY732" s="1444"/>
      <c r="CZ732" s="1444">
        <f t="shared" si="21"/>
        <v>0</v>
      </c>
      <c r="DA732" s="1444"/>
      <c r="DB732" s="1444"/>
      <c r="DC732" s="1444"/>
      <c r="DD732" s="1444"/>
      <c r="DE732" s="1444">
        <f t="shared" si="22"/>
        <v>0</v>
      </c>
      <c r="DF732" s="1444"/>
      <c r="DG732" s="1444"/>
      <c r="DH732" s="1444"/>
      <c r="DI732" s="1444"/>
      <c r="DJ732" s="1444">
        <f t="shared" si="23"/>
        <v>0</v>
      </c>
      <c r="DK732" s="1444"/>
      <c r="DL732" s="1444"/>
      <c r="DM732" s="1444"/>
      <c r="DN732" s="1444"/>
      <c r="DO732" s="1444">
        <f t="shared" si="24"/>
        <v>0</v>
      </c>
      <c r="DP732" s="1444"/>
      <c r="DQ732" s="1444"/>
      <c r="DR732" s="1444"/>
      <c r="DS732" s="1444"/>
      <c r="DT732" s="6"/>
      <c r="DU732" s="1445">
        <f t="shared" si="25"/>
        <v>0</v>
      </c>
      <c r="DV732" s="1445"/>
      <c r="DW732" s="1445"/>
      <c r="DX732" s="1445"/>
      <c r="DY732" s="1445"/>
      <c r="DZ732" s="1445">
        <f t="shared" si="26"/>
        <v>0</v>
      </c>
      <c r="EA732" s="1445"/>
      <c r="EB732" s="1445"/>
      <c r="EC732" s="1445"/>
      <c r="ED732" s="1445"/>
      <c r="EE732" s="1445">
        <f t="shared" si="27"/>
        <v>0</v>
      </c>
      <c r="EF732" s="1445"/>
      <c r="EG732" s="1445"/>
      <c r="EH732" s="1445"/>
      <c r="EI732" s="1445"/>
      <c r="EJ732" s="1445">
        <f t="shared" si="28"/>
        <v>0</v>
      </c>
      <c r="EK732" s="1445"/>
      <c r="EL732" s="1445"/>
      <c r="EM732" s="1445"/>
      <c r="EN732" s="1445"/>
      <c r="EO732" s="1445">
        <f t="shared" si="29"/>
        <v>0</v>
      </c>
      <c r="EP732" s="1445"/>
      <c r="EQ732" s="1445"/>
      <c r="ER732" s="1445"/>
      <c r="ES732" s="1445"/>
      <c r="ET732" s="1445">
        <f t="shared" si="30"/>
        <v>0</v>
      </c>
      <c r="EU732" s="1445"/>
      <c r="EV732" s="1445"/>
      <c r="EW732" s="1445"/>
      <c r="EX732" s="1445"/>
      <c r="EZ732" s="1464" t="str">
        <f t="shared" si="31"/>
        <v/>
      </c>
      <c r="FA732" s="1466"/>
      <c r="FB732" s="1466"/>
      <c r="FC732" s="1466"/>
      <c r="FD732" s="1465"/>
      <c r="FE732" s="1464" t="str">
        <f t="shared" si="32"/>
        <v/>
      </c>
      <c r="FF732" s="1466"/>
      <c r="FG732" s="1466"/>
      <c r="FH732" s="1466"/>
      <c r="FI732" s="1465"/>
      <c r="FJ732" s="1464" t="str">
        <f t="shared" si="33"/>
        <v/>
      </c>
      <c r="FK732" s="1466"/>
      <c r="FL732" s="1466"/>
      <c r="FM732" s="1466"/>
      <c r="FN732" s="1465"/>
      <c r="FO732" s="1464" t="str">
        <f t="shared" si="34"/>
        <v/>
      </c>
      <c r="FP732" s="1466"/>
      <c r="FQ732" s="1466"/>
      <c r="FR732" s="1466"/>
      <c r="FS732" s="1465"/>
      <c r="FT732" s="1464" t="str">
        <f t="shared" si="35"/>
        <v/>
      </c>
      <c r="FU732" s="1466"/>
      <c r="FV732" s="1466"/>
      <c r="FW732" s="1466"/>
      <c r="FX732" s="1465"/>
      <c r="FY732" s="1464" t="str">
        <f t="shared" si="36"/>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9"/>
        <v>0</v>
      </c>
      <c r="Y733" s="1354"/>
      <c r="Z733" s="1354"/>
      <c r="AA733" s="1354"/>
      <c r="AB733" s="1355"/>
      <c r="AC733" s="1360"/>
      <c r="AD733" s="1361"/>
      <c r="AE733" s="1361"/>
      <c r="AF733" s="1361"/>
      <c r="AG733" s="1362"/>
      <c r="AH733" s="1356" t="str">
        <f t="shared" si="37"/>
        <v/>
      </c>
      <c r="AI733" s="1357"/>
      <c r="AJ733" s="1358"/>
      <c r="AK733" s="1337" t="s">
        <v>591</v>
      </c>
      <c r="AL733" s="1338"/>
      <c r="AM733" s="1338"/>
      <c r="AN733" s="1338"/>
      <c r="AO733" s="1339"/>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4">
        <f t="shared" si="38"/>
        <v>0</v>
      </c>
      <c r="CH733" s="1465"/>
      <c r="CI733" s="1470">
        <f t="shared" si="39"/>
        <v>0</v>
      </c>
      <c r="CJ733" s="1471"/>
      <c r="CK733" s="1464">
        <f t="shared" si="17"/>
        <v>0</v>
      </c>
      <c r="CL733" s="1465"/>
      <c r="CM733" s="1470">
        <f t="shared" si="18"/>
        <v>0</v>
      </c>
      <c r="CN733" s="1471"/>
      <c r="CO733" s="3"/>
      <c r="CP733" s="1459">
        <f t="shared" si="19"/>
        <v>0</v>
      </c>
      <c r="CQ733" s="1460"/>
      <c r="CR733" s="1460"/>
      <c r="CS733" s="1460"/>
      <c r="CT733" s="1461"/>
      <c r="CU733" s="1444">
        <f t="shared" si="20"/>
        <v>0</v>
      </c>
      <c r="CV733" s="1444"/>
      <c r="CW733" s="1444"/>
      <c r="CX733" s="1444"/>
      <c r="CY733" s="1444"/>
      <c r="CZ733" s="1444">
        <f t="shared" si="21"/>
        <v>0</v>
      </c>
      <c r="DA733" s="1444"/>
      <c r="DB733" s="1444"/>
      <c r="DC733" s="1444"/>
      <c r="DD733" s="1444"/>
      <c r="DE733" s="1444">
        <f t="shared" si="22"/>
        <v>0</v>
      </c>
      <c r="DF733" s="1444"/>
      <c r="DG733" s="1444"/>
      <c r="DH733" s="1444"/>
      <c r="DI733" s="1444"/>
      <c r="DJ733" s="1444">
        <f t="shared" si="23"/>
        <v>0</v>
      </c>
      <c r="DK733" s="1444"/>
      <c r="DL733" s="1444"/>
      <c r="DM733" s="1444"/>
      <c r="DN733" s="1444"/>
      <c r="DO733" s="1444">
        <f t="shared" si="24"/>
        <v>0</v>
      </c>
      <c r="DP733" s="1444"/>
      <c r="DQ733" s="1444"/>
      <c r="DR733" s="1444"/>
      <c r="DS733" s="1444"/>
      <c r="DT733" s="6"/>
      <c r="DU733" s="1445">
        <f t="shared" si="25"/>
        <v>0</v>
      </c>
      <c r="DV733" s="1445"/>
      <c r="DW733" s="1445"/>
      <c r="DX733" s="1445"/>
      <c r="DY733" s="1445"/>
      <c r="DZ733" s="1445">
        <f t="shared" si="26"/>
        <v>0</v>
      </c>
      <c r="EA733" s="1445"/>
      <c r="EB733" s="1445"/>
      <c r="EC733" s="1445"/>
      <c r="ED733" s="1445"/>
      <c r="EE733" s="1445">
        <f t="shared" si="27"/>
        <v>0</v>
      </c>
      <c r="EF733" s="1445"/>
      <c r="EG733" s="1445"/>
      <c r="EH733" s="1445"/>
      <c r="EI733" s="1445"/>
      <c r="EJ733" s="1445">
        <f t="shared" si="28"/>
        <v>0</v>
      </c>
      <c r="EK733" s="1445"/>
      <c r="EL733" s="1445"/>
      <c r="EM733" s="1445"/>
      <c r="EN733" s="1445"/>
      <c r="EO733" s="1445">
        <f t="shared" si="29"/>
        <v>0</v>
      </c>
      <c r="EP733" s="1445"/>
      <c r="EQ733" s="1445"/>
      <c r="ER733" s="1445"/>
      <c r="ES733" s="1445"/>
      <c r="ET733" s="1445">
        <f t="shared" si="30"/>
        <v>0</v>
      </c>
      <c r="EU733" s="1445"/>
      <c r="EV733" s="1445"/>
      <c r="EW733" s="1445"/>
      <c r="EX733" s="1445"/>
      <c r="EZ733" s="1464" t="str">
        <f t="shared" si="31"/>
        <v/>
      </c>
      <c r="FA733" s="1466"/>
      <c r="FB733" s="1466"/>
      <c r="FC733" s="1466"/>
      <c r="FD733" s="1465"/>
      <c r="FE733" s="1464" t="str">
        <f t="shared" si="32"/>
        <v/>
      </c>
      <c r="FF733" s="1466"/>
      <c r="FG733" s="1466"/>
      <c r="FH733" s="1466"/>
      <c r="FI733" s="1465"/>
      <c r="FJ733" s="1464" t="str">
        <f t="shared" si="33"/>
        <v/>
      </c>
      <c r="FK733" s="1466"/>
      <c r="FL733" s="1466"/>
      <c r="FM733" s="1466"/>
      <c r="FN733" s="1465"/>
      <c r="FO733" s="1464" t="str">
        <f t="shared" si="34"/>
        <v/>
      </c>
      <c r="FP733" s="1466"/>
      <c r="FQ733" s="1466"/>
      <c r="FR733" s="1466"/>
      <c r="FS733" s="1465"/>
      <c r="FT733" s="1464" t="str">
        <f t="shared" si="35"/>
        <v/>
      </c>
      <c r="FU733" s="1466"/>
      <c r="FV733" s="1466"/>
      <c r="FW733" s="1466"/>
      <c r="FX733" s="1465"/>
      <c r="FY733" s="1464" t="str">
        <f t="shared" si="36"/>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9"/>
        <v>0</v>
      </c>
      <c r="Y734" s="1354"/>
      <c r="Z734" s="1354"/>
      <c r="AA734" s="1354"/>
      <c r="AB734" s="1355"/>
      <c r="AC734" s="1360"/>
      <c r="AD734" s="1361"/>
      <c r="AE734" s="1361"/>
      <c r="AF734" s="1361"/>
      <c r="AG734" s="1362"/>
      <c r="AH734" s="1356" t="str">
        <f t="shared" si="37"/>
        <v/>
      </c>
      <c r="AI734" s="1357"/>
      <c r="AJ734" s="1358"/>
      <c r="AK734" s="1337" t="s">
        <v>591</v>
      </c>
      <c r="AL734" s="1338"/>
      <c r="AM734" s="1338"/>
      <c r="AN734" s="1338"/>
      <c r="AO734" s="1339"/>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4">
        <f t="shared" si="38"/>
        <v>0</v>
      </c>
      <c r="CH734" s="1465"/>
      <c r="CI734" s="1470">
        <f t="shared" si="39"/>
        <v>0</v>
      </c>
      <c r="CJ734" s="1471"/>
      <c r="CK734" s="1464">
        <f t="shared" si="17"/>
        <v>0</v>
      </c>
      <c r="CL734" s="1465"/>
      <c r="CM734" s="1470">
        <f t="shared" si="18"/>
        <v>0</v>
      </c>
      <c r="CN734" s="1471"/>
      <c r="CO734" s="3"/>
      <c r="CP734" s="1459">
        <f t="shared" si="19"/>
        <v>0</v>
      </c>
      <c r="CQ734" s="1460"/>
      <c r="CR734" s="1460"/>
      <c r="CS734" s="1460"/>
      <c r="CT734" s="1461"/>
      <c r="CU734" s="1444">
        <f t="shared" si="20"/>
        <v>0</v>
      </c>
      <c r="CV734" s="1444"/>
      <c r="CW734" s="1444"/>
      <c r="CX734" s="1444"/>
      <c r="CY734" s="1444"/>
      <c r="CZ734" s="1444">
        <f t="shared" si="21"/>
        <v>0</v>
      </c>
      <c r="DA734" s="1444"/>
      <c r="DB734" s="1444"/>
      <c r="DC734" s="1444"/>
      <c r="DD734" s="1444"/>
      <c r="DE734" s="1444">
        <f t="shared" si="22"/>
        <v>0</v>
      </c>
      <c r="DF734" s="1444"/>
      <c r="DG734" s="1444"/>
      <c r="DH734" s="1444"/>
      <c r="DI734" s="1444"/>
      <c r="DJ734" s="1444">
        <f t="shared" si="23"/>
        <v>0</v>
      </c>
      <c r="DK734" s="1444"/>
      <c r="DL734" s="1444"/>
      <c r="DM734" s="1444"/>
      <c r="DN734" s="1444"/>
      <c r="DO734" s="1444">
        <f t="shared" si="24"/>
        <v>0</v>
      </c>
      <c r="DP734" s="1444"/>
      <c r="DQ734" s="1444"/>
      <c r="DR734" s="1444"/>
      <c r="DS734" s="1444"/>
      <c r="DT734" s="6"/>
      <c r="DU734" s="1445">
        <f t="shared" si="25"/>
        <v>0</v>
      </c>
      <c r="DV734" s="1445"/>
      <c r="DW734" s="1445"/>
      <c r="DX734" s="1445"/>
      <c r="DY734" s="1445"/>
      <c r="DZ734" s="1445">
        <f t="shared" si="26"/>
        <v>0</v>
      </c>
      <c r="EA734" s="1445"/>
      <c r="EB734" s="1445"/>
      <c r="EC734" s="1445"/>
      <c r="ED734" s="1445"/>
      <c r="EE734" s="1445">
        <f t="shared" si="27"/>
        <v>0</v>
      </c>
      <c r="EF734" s="1445"/>
      <c r="EG734" s="1445"/>
      <c r="EH734" s="1445"/>
      <c r="EI734" s="1445"/>
      <c r="EJ734" s="1445">
        <f t="shared" si="28"/>
        <v>0</v>
      </c>
      <c r="EK734" s="1445"/>
      <c r="EL734" s="1445"/>
      <c r="EM734" s="1445"/>
      <c r="EN734" s="1445"/>
      <c r="EO734" s="1445">
        <f t="shared" si="29"/>
        <v>0</v>
      </c>
      <c r="EP734" s="1445"/>
      <c r="EQ734" s="1445"/>
      <c r="ER734" s="1445"/>
      <c r="ES734" s="1445"/>
      <c r="ET734" s="1445">
        <f t="shared" si="30"/>
        <v>0</v>
      </c>
      <c r="EU734" s="1445"/>
      <c r="EV734" s="1445"/>
      <c r="EW734" s="1445"/>
      <c r="EX734" s="1445"/>
      <c r="EZ734" s="1464" t="str">
        <f t="shared" si="31"/>
        <v/>
      </c>
      <c r="FA734" s="1466"/>
      <c r="FB734" s="1466"/>
      <c r="FC734" s="1466"/>
      <c r="FD734" s="1465"/>
      <c r="FE734" s="1464" t="str">
        <f t="shared" si="32"/>
        <v/>
      </c>
      <c r="FF734" s="1466"/>
      <c r="FG734" s="1466"/>
      <c r="FH734" s="1466"/>
      <c r="FI734" s="1465"/>
      <c r="FJ734" s="1464" t="str">
        <f t="shared" si="33"/>
        <v/>
      </c>
      <c r="FK734" s="1466"/>
      <c r="FL734" s="1466"/>
      <c r="FM734" s="1466"/>
      <c r="FN734" s="1465"/>
      <c r="FO734" s="1464" t="str">
        <f t="shared" si="34"/>
        <v/>
      </c>
      <c r="FP734" s="1466"/>
      <c r="FQ734" s="1466"/>
      <c r="FR734" s="1466"/>
      <c r="FS734" s="1465"/>
      <c r="FT734" s="1464" t="str">
        <f t="shared" si="35"/>
        <v/>
      </c>
      <c r="FU734" s="1466"/>
      <c r="FV734" s="1466"/>
      <c r="FW734" s="1466"/>
      <c r="FX734" s="1465"/>
      <c r="FY734" s="1464" t="str">
        <f t="shared" si="36"/>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9"/>
        <v>0</v>
      </c>
      <c r="Y735" s="1354"/>
      <c r="Z735" s="1354"/>
      <c r="AA735" s="1354"/>
      <c r="AB735" s="1355"/>
      <c r="AC735" s="1360"/>
      <c r="AD735" s="1361"/>
      <c r="AE735" s="1361"/>
      <c r="AF735" s="1361"/>
      <c r="AG735" s="1362"/>
      <c r="AH735" s="1356" t="str">
        <f t="shared" si="37"/>
        <v/>
      </c>
      <c r="AI735" s="1357"/>
      <c r="AJ735" s="1358"/>
      <c r="AK735" s="1337" t="s">
        <v>591</v>
      </c>
      <c r="AL735" s="1338"/>
      <c r="AM735" s="1338"/>
      <c r="AN735" s="1338"/>
      <c r="AO735" s="1339"/>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4">
        <f t="shared" si="38"/>
        <v>0</v>
      </c>
      <c r="CH735" s="1465"/>
      <c r="CI735" s="1470">
        <f t="shared" si="39"/>
        <v>0</v>
      </c>
      <c r="CJ735" s="1471"/>
      <c r="CK735" s="1464">
        <f t="shared" si="17"/>
        <v>0</v>
      </c>
      <c r="CL735" s="1465"/>
      <c r="CM735" s="1470">
        <f t="shared" si="18"/>
        <v>0</v>
      </c>
      <c r="CN735" s="1471"/>
      <c r="CO735" s="3"/>
      <c r="CP735" s="1459">
        <f t="shared" si="19"/>
        <v>0</v>
      </c>
      <c r="CQ735" s="1460"/>
      <c r="CR735" s="1460"/>
      <c r="CS735" s="1460"/>
      <c r="CT735" s="1461"/>
      <c r="CU735" s="1444">
        <f t="shared" si="20"/>
        <v>0</v>
      </c>
      <c r="CV735" s="1444"/>
      <c r="CW735" s="1444"/>
      <c r="CX735" s="1444"/>
      <c r="CY735" s="1444"/>
      <c r="CZ735" s="1444">
        <f t="shared" si="21"/>
        <v>0</v>
      </c>
      <c r="DA735" s="1444"/>
      <c r="DB735" s="1444"/>
      <c r="DC735" s="1444"/>
      <c r="DD735" s="1444"/>
      <c r="DE735" s="1444">
        <f t="shared" si="22"/>
        <v>0</v>
      </c>
      <c r="DF735" s="1444"/>
      <c r="DG735" s="1444"/>
      <c r="DH735" s="1444"/>
      <c r="DI735" s="1444"/>
      <c r="DJ735" s="1444">
        <f t="shared" si="23"/>
        <v>0</v>
      </c>
      <c r="DK735" s="1444"/>
      <c r="DL735" s="1444"/>
      <c r="DM735" s="1444"/>
      <c r="DN735" s="1444"/>
      <c r="DO735" s="1444">
        <f t="shared" si="24"/>
        <v>0</v>
      </c>
      <c r="DP735" s="1444"/>
      <c r="DQ735" s="1444"/>
      <c r="DR735" s="1444"/>
      <c r="DS735" s="1444"/>
      <c r="DT735" s="6"/>
      <c r="DU735" s="1445">
        <f t="shared" si="25"/>
        <v>0</v>
      </c>
      <c r="DV735" s="1445"/>
      <c r="DW735" s="1445"/>
      <c r="DX735" s="1445"/>
      <c r="DY735" s="1445"/>
      <c r="DZ735" s="1445">
        <f t="shared" si="26"/>
        <v>0</v>
      </c>
      <c r="EA735" s="1445"/>
      <c r="EB735" s="1445"/>
      <c r="EC735" s="1445"/>
      <c r="ED735" s="1445"/>
      <c r="EE735" s="1445">
        <f t="shared" si="27"/>
        <v>0</v>
      </c>
      <c r="EF735" s="1445"/>
      <c r="EG735" s="1445"/>
      <c r="EH735" s="1445"/>
      <c r="EI735" s="1445"/>
      <c r="EJ735" s="1445">
        <f t="shared" si="28"/>
        <v>0</v>
      </c>
      <c r="EK735" s="1445"/>
      <c r="EL735" s="1445"/>
      <c r="EM735" s="1445"/>
      <c r="EN735" s="1445"/>
      <c r="EO735" s="1445">
        <f t="shared" si="29"/>
        <v>0</v>
      </c>
      <c r="EP735" s="1445"/>
      <c r="EQ735" s="1445"/>
      <c r="ER735" s="1445"/>
      <c r="ES735" s="1445"/>
      <c r="ET735" s="1445">
        <f t="shared" si="30"/>
        <v>0</v>
      </c>
      <c r="EU735" s="1445"/>
      <c r="EV735" s="1445"/>
      <c r="EW735" s="1445"/>
      <c r="EX735" s="1445"/>
      <c r="EZ735" s="1464" t="str">
        <f t="shared" si="31"/>
        <v/>
      </c>
      <c r="FA735" s="1466"/>
      <c r="FB735" s="1466"/>
      <c r="FC735" s="1466"/>
      <c r="FD735" s="1465"/>
      <c r="FE735" s="1464" t="str">
        <f t="shared" si="32"/>
        <v/>
      </c>
      <c r="FF735" s="1466"/>
      <c r="FG735" s="1466"/>
      <c r="FH735" s="1466"/>
      <c r="FI735" s="1465"/>
      <c r="FJ735" s="1464" t="str">
        <f t="shared" si="33"/>
        <v/>
      </c>
      <c r="FK735" s="1466"/>
      <c r="FL735" s="1466"/>
      <c r="FM735" s="1466"/>
      <c r="FN735" s="1465"/>
      <c r="FO735" s="1464" t="str">
        <f t="shared" si="34"/>
        <v/>
      </c>
      <c r="FP735" s="1466"/>
      <c r="FQ735" s="1466"/>
      <c r="FR735" s="1466"/>
      <c r="FS735" s="1465"/>
      <c r="FT735" s="1464" t="str">
        <f t="shared" si="35"/>
        <v/>
      </c>
      <c r="FU735" s="1466"/>
      <c r="FV735" s="1466"/>
      <c r="FW735" s="1466"/>
      <c r="FX735" s="1465"/>
      <c r="FY735" s="1464" t="str">
        <f t="shared" si="36"/>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9"/>
        <v>0</v>
      </c>
      <c r="Y736" s="1354"/>
      <c r="Z736" s="1354"/>
      <c r="AA736" s="1354"/>
      <c r="AB736" s="1355"/>
      <c r="AC736" s="1360"/>
      <c r="AD736" s="1361"/>
      <c r="AE736" s="1361"/>
      <c r="AF736" s="1361"/>
      <c r="AG736" s="1362"/>
      <c r="AH736" s="1356" t="str">
        <f t="shared" si="37"/>
        <v/>
      </c>
      <c r="AI736" s="1357"/>
      <c r="AJ736" s="1358"/>
      <c r="AK736" s="1337" t="s">
        <v>591</v>
      </c>
      <c r="AL736" s="1338"/>
      <c r="AM736" s="1338"/>
      <c r="AN736" s="1338"/>
      <c r="AO736" s="1339"/>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4">
        <f t="shared" si="38"/>
        <v>0</v>
      </c>
      <c r="CH736" s="1465"/>
      <c r="CI736" s="1470">
        <f t="shared" si="39"/>
        <v>0</v>
      </c>
      <c r="CJ736" s="1471"/>
      <c r="CK736" s="1464">
        <f t="shared" si="17"/>
        <v>0</v>
      </c>
      <c r="CL736" s="1465"/>
      <c r="CM736" s="1470">
        <f t="shared" si="18"/>
        <v>0</v>
      </c>
      <c r="CN736" s="1471"/>
      <c r="CO736" s="3"/>
      <c r="CP736" s="1459">
        <f t="shared" si="19"/>
        <v>0</v>
      </c>
      <c r="CQ736" s="1460"/>
      <c r="CR736" s="1460"/>
      <c r="CS736" s="1460"/>
      <c r="CT736" s="1461"/>
      <c r="CU736" s="1444">
        <f t="shared" si="20"/>
        <v>0</v>
      </c>
      <c r="CV736" s="1444"/>
      <c r="CW736" s="1444"/>
      <c r="CX736" s="1444"/>
      <c r="CY736" s="1444"/>
      <c r="CZ736" s="1444">
        <f t="shared" si="21"/>
        <v>0</v>
      </c>
      <c r="DA736" s="1444"/>
      <c r="DB736" s="1444"/>
      <c r="DC736" s="1444"/>
      <c r="DD736" s="1444"/>
      <c r="DE736" s="1444">
        <f t="shared" si="22"/>
        <v>0</v>
      </c>
      <c r="DF736" s="1444"/>
      <c r="DG736" s="1444"/>
      <c r="DH736" s="1444"/>
      <c r="DI736" s="1444"/>
      <c r="DJ736" s="1444">
        <f t="shared" si="23"/>
        <v>0</v>
      </c>
      <c r="DK736" s="1444"/>
      <c r="DL736" s="1444"/>
      <c r="DM736" s="1444"/>
      <c r="DN736" s="1444"/>
      <c r="DO736" s="1444">
        <f t="shared" si="24"/>
        <v>0</v>
      </c>
      <c r="DP736" s="1444"/>
      <c r="DQ736" s="1444"/>
      <c r="DR736" s="1444"/>
      <c r="DS736" s="1444"/>
      <c r="DT736" s="6"/>
      <c r="DU736" s="1445">
        <f t="shared" si="25"/>
        <v>0</v>
      </c>
      <c r="DV736" s="1445"/>
      <c r="DW736" s="1445"/>
      <c r="DX736" s="1445"/>
      <c r="DY736" s="1445"/>
      <c r="DZ736" s="1445">
        <f t="shared" si="26"/>
        <v>0</v>
      </c>
      <c r="EA736" s="1445"/>
      <c r="EB736" s="1445"/>
      <c r="EC736" s="1445"/>
      <c r="ED736" s="1445"/>
      <c r="EE736" s="1445">
        <f t="shared" si="27"/>
        <v>0</v>
      </c>
      <c r="EF736" s="1445"/>
      <c r="EG736" s="1445"/>
      <c r="EH736" s="1445"/>
      <c r="EI736" s="1445"/>
      <c r="EJ736" s="1445">
        <f t="shared" si="28"/>
        <v>0</v>
      </c>
      <c r="EK736" s="1445"/>
      <c r="EL736" s="1445"/>
      <c r="EM736" s="1445"/>
      <c r="EN736" s="1445"/>
      <c r="EO736" s="1445">
        <f t="shared" si="29"/>
        <v>0</v>
      </c>
      <c r="EP736" s="1445"/>
      <c r="EQ736" s="1445"/>
      <c r="ER736" s="1445"/>
      <c r="ES736" s="1445"/>
      <c r="ET736" s="1445">
        <f t="shared" si="30"/>
        <v>0</v>
      </c>
      <c r="EU736" s="1445"/>
      <c r="EV736" s="1445"/>
      <c r="EW736" s="1445"/>
      <c r="EX736" s="1445"/>
      <c r="EZ736" s="1464" t="str">
        <f t="shared" si="31"/>
        <v/>
      </c>
      <c r="FA736" s="1466"/>
      <c r="FB736" s="1466"/>
      <c r="FC736" s="1466"/>
      <c r="FD736" s="1465"/>
      <c r="FE736" s="1464" t="str">
        <f t="shared" si="32"/>
        <v/>
      </c>
      <c r="FF736" s="1466"/>
      <c r="FG736" s="1466"/>
      <c r="FH736" s="1466"/>
      <c r="FI736" s="1465"/>
      <c r="FJ736" s="1464" t="str">
        <f t="shared" si="33"/>
        <v/>
      </c>
      <c r="FK736" s="1466"/>
      <c r="FL736" s="1466"/>
      <c r="FM736" s="1466"/>
      <c r="FN736" s="1465"/>
      <c r="FO736" s="1464" t="str">
        <f t="shared" si="34"/>
        <v/>
      </c>
      <c r="FP736" s="1466"/>
      <c r="FQ736" s="1466"/>
      <c r="FR736" s="1466"/>
      <c r="FS736" s="1465"/>
      <c r="FT736" s="1464" t="str">
        <f t="shared" si="35"/>
        <v/>
      </c>
      <c r="FU736" s="1466"/>
      <c r="FV736" s="1466"/>
      <c r="FW736" s="1466"/>
      <c r="FX736" s="1465"/>
      <c r="FY736" s="1464" t="str">
        <f t="shared" si="36"/>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9"/>
        <v>0</v>
      </c>
      <c r="Y737" s="1354"/>
      <c r="Z737" s="1354"/>
      <c r="AA737" s="1354"/>
      <c r="AB737" s="1355"/>
      <c r="AC737" s="1360"/>
      <c r="AD737" s="1361"/>
      <c r="AE737" s="1361"/>
      <c r="AF737" s="1361"/>
      <c r="AG737" s="1362"/>
      <c r="AH737" s="1356" t="str">
        <f t="shared" si="37"/>
        <v/>
      </c>
      <c r="AI737" s="1357"/>
      <c r="AJ737" s="1358"/>
      <c r="AK737" s="1337" t="s">
        <v>591</v>
      </c>
      <c r="AL737" s="1338"/>
      <c r="AM737" s="1338"/>
      <c r="AN737" s="1338"/>
      <c r="AO737" s="1339"/>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4">
        <f t="shared" si="38"/>
        <v>0</v>
      </c>
      <c r="CH737" s="1465"/>
      <c r="CI737" s="1470">
        <f t="shared" si="39"/>
        <v>0</v>
      </c>
      <c r="CJ737" s="1471"/>
      <c r="CK737" s="1464">
        <f t="shared" si="17"/>
        <v>0</v>
      </c>
      <c r="CL737" s="1465"/>
      <c r="CM737" s="1470">
        <f t="shared" si="18"/>
        <v>0</v>
      </c>
      <c r="CN737" s="1471"/>
      <c r="CO737" s="3"/>
      <c r="CP737" s="1459">
        <f t="shared" si="19"/>
        <v>0</v>
      </c>
      <c r="CQ737" s="1460"/>
      <c r="CR737" s="1460"/>
      <c r="CS737" s="1460"/>
      <c r="CT737" s="1461"/>
      <c r="CU737" s="1444">
        <f t="shared" si="20"/>
        <v>0</v>
      </c>
      <c r="CV737" s="1444"/>
      <c r="CW737" s="1444"/>
      <c r="CX737" s="1444"/>
      <c r="CY737" s="1444"/>
      <c r="CZ737" s="1444">
        <f t="shared" si="21"/>
        <v>0</v>
      </c>
      <c r="DA737" s="1444"/>
      <c r="DB737" s="1444"/>
      <c r="DC737" s="1444"/>
      <c r="DD737" s="1444"/>
      <c r="DE737" s="1444">
        <f t="shared" si="22"/>
        <v>0</v>
      </c>
      <c r="DF737" s="1444"/>
      <c r="DG737" s="1444"/>
      <c r="DH737" s="1444"/>
      <c r="DI737" s="1444"/>
      <c r="DJ737" s="1444">
        <f t="shared" si="23"/>
        <v>0</v>
      </c>
      <c r="DK737" s="1444"/>
      <c r="DL737" s="1444"/>
      <c r="DM737" s="1444"/>
      <c r="DN737" s="1444"/>
      <c r="DO737" s="1444">
        <f t="shared" si="24"/>
        <v>0</v>
      </c>
      <c r="DP737" s="1444"/>
      <c r="DQ737" s="1444"/>
      <c r="DR737" s="1444"/>
      <c r="DS737" s="1444"/>
      <c r="DT737" s="6"/>
      <c r="DU737" s="1445">
        <f t="shared" si="25"/>
        <v>0</v>
      </c>
      <c r="DV737" s="1445"/>
      <c r="DW737" s="1445"/>
      <c r="DX737" s="1445"/>
      <c r="DY737" s="1445"/>
      <c r="DZ737" s="1445">
        <f t="shared" si="26"/>
        <v>0</v>
      </c>
      <c r="EA737" s="1445"/>
      <c r="EB737" s="1445"/>
      <c r="EC737" s="1445"/>
      <c r="ED737" s="1445"/>
      <c r="EE737" s="1445">
        <f t="shared" si="27"/>
        <v>0</v>
      </c>
      <c r="EF737" s="1445"/>
      <c r="EG737" s="1445"/>
      <c r="EH737" s="1445"/>
      <c r="EI737" s="1445"/>
      <c r="EJ737" s="1445">
        <f t="shared" si="28"/>
        <v>0</v>
      </c>
      <c r="EK737" s="1445"/>
      <c r="EL737" s="1445"/>
      <c r="EM737" s="1445"/>
      <c r="EN737" s="1445"/>
      <c r="EO737" s="1445">
        <f t="shared" si="29"/>
        <v>0</v>
      </c>
      <c r="EP737" s="1445"/>
      <c r="EQ737" s="1445"/>
      <c r="ER737" s="1445"/>
      <c r="ES737" s="1445"/>
      <c r="ET737" s="1445">
        <f t="shared" si="30"/>
        <v>0</v>
      </c>
      <c r="EU737" s="1445"/>
      <c r="EV737" s="1445"/>
      <c r="EW737" s="1445"/>
      <c r="EX737" s="1445"/>
      <c r="EZ737" s="1464" t="str">
        <f t="shared" si="31"/>
        <v/>
      </c>
      <c r="FA737" s="1466"/>
      <c r="FB737" s="1466"/>
      <c r="FC737" s="1466"/>
      <c r="FD737" s="1465"/>
      <c r="FE737" s="1464" t="str">
        <f t="shared" si="32"/>
        <v/>
      </c>
      <c r="FF737" s="1466"/>
      <c r="FG737" s="1466"/>
      <c r="FH737" s="1466"/>
      <c r="FI737" s="1465"/>
      <c r="FJ737" s="1464" t="str">
        <f t="shared" si="33"/>
        <v/>
      </c>
      <c r="FK737" s="1466"/>
      <c r="FL737" s="1466"/>
      <c r="FM737" s="1466"/>
      <c r="FN737" s="1465"/>
      <c r="FO737" s="1464" t="str">
        <f t="shared" si="34"/>
        <v/>
      </c>
      <c r="FP737" s="1466"/>
      <c r="FQ737" s="1466"/>
      <c r="FR737" s="1466"/>
      <c r="FS737" s="1465"/>
      <c r="FT737" s="1464" t="str">
        <f t="shared" si="35"/>
        <v/>
      </c>
      <c r="FU737" s="1466"/>
      <c r="FV737" s="1466"/>
      <c r="FW737" s="1466"/>
      <c r="FX737" s="1465"/>
      <c r="FY737" s="1464" t="str">
        <f t="shared" si="36"/>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9"/>
        <v>0</v>
      </c>
      <c r="Y738" s="1354"/>
      <c r="Z738" s="1354"/>
      <c r="AA738" s="1354"/>
      <c r="AB738" s="1355"/>
      <c r="AC738" s="1360"/>
      <c r="AD738" s="1361"/>
      <c r="AE738" s="1361"/>
      <c r="AF738" s="1361"/>
      <c r="AG738" s="1362"/>
      <c r="AH738" s="1356" t="str">
        <f t="shared" si="37"/>
        <v/>
      </c>
      <c r="AI738" s="1357"/>
      <c r="AJ738" s="1358"/>
      <c r="AK738" s="1337" t="s">
        <v>591</v>
      </c>
      <c r="AL738" s="1338"/>
      <c r="AM738" s="1338"/>
      <c r="AN738" s="1338"/>
      <c r="AO738" s="1339"/>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4">
        <f t="shared" si="38"/>
        <v>0</v>
      </c>
      <c r="CH738" s="1465"/>
      <c r="CI738" s="1470">
        <f t="shared" si="39"/>
        <v>0</v>
      </c>
      <c r="CJ738" s="1471"/>
      <c r="CK738" s="1464">
        <f t="shared" si="17"/>
        <v>0</v>
      </c>
      <c r="CL738" s="1465"/>
      <c r="CM738" s="1470">
        <f t="shared" si="18"/>
        <v>0</v>
      </c>
      <c r="CN738" s="1471"/>
      <c r="CO738" s="3"/>
      <c r="CP738" s="1459">
        <f t="shared" si="19"/>
        <v>0</v>
      </c>
      <c r="CQ738" s="1460"/>
      <c r="CR738" s="1460"/>
      <c r="CS738" s="1460"/>
      <c r="CT738" s="1461"/>
      <c r="CU738" s="1444">
        <f t="shared" si="20"/>
        <v>0</v>
      </c>
      <c r="CV738" s="1444"/>
      <c r="CW738" s="1444"/>
      <c r="CX738" s="1444"/>
      <c r="CY738" s="1444"/>
      <c r="CZ738" s="1444">
        <f t="shared" si="21"/>
        <v>0</v>
      </c>
      <c r="DA738" s="1444"/>
      <c r="DB738" s="1444"/>
      <c r="DC738" s="1444"/>
      <c r="DD738" s="1444"/>
      <c r="DE738" s="1444">
        <f t="shared" si="22"/>
        <v>0</v>
      </c>
      <c r="DF738" s="1444"/>
      <c r="DG738" s="1444"/>
      <c r="DH738" s="1444"/>
      <c r="DI738" s="1444"/>
      <c r="DJ738" s="1444">
        <f t="shared" si="23"/>
        <v>0</v>
      </c>
      <c r="DK738" s="1444"/>
      <c r="DL738" s="1444"/>
      <c r="DM738" s="1444"/>
      <c r="DN738" s="1444"/>
      <c r="DO738" s="1444">
        <f t="shared" si="24"/>
        <v>0</v>
      </c>
      <c r="DP738" s="1444"/>
      <c r="DQ738" s="1444"/>
      <c r="DR738" s="1444"/>
      <c r="DS738" s="1444"/>
      <c r="DT738" s="6"/>
      <c r="DU738" s="1445">
        <f t="shared" si="25"/>
        <v>0</v>
      </c>
      <c r="DV738" s="1445"/>
      <c r="DW738" s="1445"/>
      <c r="DX738" s="1445"/>
      <c r="DY738" s="1445"/>
      <c r="DZ738" s="1445">
        <f t="shared" si="26"/>
        <v>0</v>
      </c>
      <c r="EA738" s="1445"/>
      <c r="EB738" s="1445"/>
      <c r="EC738" s="1445"/>
      <c r="ED738" s="1445"/>
      <c r="EE738" s="1445">
        <f t="shared" si="27"/>
        <v>0</v>
      </c>
      <c r="EF738" s="1445"/>
      <c r="EG738" s="1445"/>
      <c r="EH738" s="1445"/>
      <c r="EI738" s="1445"/>
      <c r="EJ738" s="1445">
        <f t="shared" si="28"/>
        <v>0</v>
      </c>
      <c r="EK738" s="1445"/>
      <c r="EL738" s="1445"/>
      <c r="EM738" s="1445"/>
      <c r="EN738" s="1445"/>
      <c r="EO738" s="1445">
        <f t="shared" si="29"/>
        <v>0</v>
      </c>
      <c r="EP738" s="1445"/>
      <c r="EQ738" s="1445"/>
      <c r="ER738" s="1445"/>
      <c r="ES738" s="1445"/>
      <c r="ET738" s="1445">
        <f t="shared" si="30"/>
        <v>0</v>
      </c>
      <c r="EU738" s="1445"/>
      <c r="EV738" s="1445"/>
      <c r="EW738" s="1445"/>
      <c r="EX738" s="1445"/>
      <c r="EZ738" s="1464" t="str">
        <f t="shared" si="31"/>
        <v/>
      </c>
      <c r="FA738" s="1466"/>
      <c r="FB738" s="1466"/>
      <c r="FC738" s="1466"/>
      <c r="FD738" s="1465"/>
      <c r="FE738" s="1464" t="str">
        <f t="shared" si="32"/>
        <v/>
      </c>
      <c r="FF738" s="1466"/>
      <c r="FG738" s="1466"/>
      <c r="FH738" s="1466"/>
      <c r="FI738" s="1465"/>
      <c r="FJ738" s="1464" t="str">
        <f t="shared" si="33"/>
        <v/>
      </c>
      <c r="FK738" s="1466"/>
      <c r="FL738" s="1466"/>
      <c r="FM738" s="1466"/>
      <c r="FN738" s="1465"/>
      <c r="FO738" s="1464" t="str">
        <f t="shared" si="34"/>
        <v/>
      </c>
      <c r="FP738" s="1466"/>
      <c r="FQ738" s="1466"/>
      <c r="FR738" s="1466"/>
      <c r="FS738" s="1465"/>
      <c r="FT738" s="1464" t="str">
        <f t="shared" si="35"/>
        <v/>
      </c>
      <c r="FU738" s="1466"/>
      <c r="FV738" s="1466"/>
      <c r="FW738" s="1466"/>
      <c r="FX738" s="1465"/>
      <c r="FY738" s="1464" t="str">
        <f t="shared" si="36"/>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9"/>
        <v>0</v>
      </c>
      <c r="Y739" s="1354"/>
      <c r="Z739" s="1354"/>
      <c r="AA739" s="1354"/>
      <c r="AB739" s="1355"/>
      <c r="AC739" s="1360"/>
      <c r="AD739" s="1361"/>
      <c r="AE739" s="1361"/>
      <c r="AF739" s="1361"/>
      <c r="AG739" s="1362"/>
      <c r="AH739" s="1356" t="str">
        <f t="shared" si="37"/>
        <v/>
      </c>
      <c r="AI739" s="1357"/>
      <c r="AJ739" s="1358"/>
      <c r="AK739" s="1337" t="s">
        <v>591</v>
      </c>
      <c r="AL739" s="1338"/>
      <c r="AM739" s="1338"/>
      <c r="AN739" s="1338"/>
      <c r="AO739" s="1339"/>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4">
        <f t="shared" si="38"/>
        <v>0</v>
      </c>
      <c r="CH739" s="1465"/>
      <c r="CI739" s="1470">
        <f t="shared" si="39"/>
        <v>0</v>
      </c>
      <c r="CJ739" s="1471"/>
      <c r="CK739" s="1464">
        <f t="shared" si="17"/>
        <v>0</v>
      </c>
      <c r="CL739" s="1465"/>
      <c r="CM739" s="1470">
        <f t="shared" si="18"/>
        <v>0</v>
      </c>
      <c r="CN739" s="1471"/>
      <c r="CO739" s="3"/>
      <c r="CP739" s="1459">
        <f t="shared" si="19"/>
        <v>0</v>
      </c>
      <c r="CQ739" s="1460"/>
      <c r="CR739" s="1460"/>
      <c r="CS739" s="1460"/>
      <c r="CT739" s="1461"/>
      <c r="CU739" s="1444">
        <f t="shared" si="20"/>
        <v>0</v>
      </c>
      <c r="CV739" s="1444"/>
      <c r="CW739" s="1444"/>
      <c r="CX739" s="1444"/>
      <c r="CY739" s="1444"/>
      <c r="CZ739" s="1444">
        <f t="shared" si="21"/>
        <v>0</v>
      </c>
      <c r="DA739" s="1444"/>
      <c r="DB739" s="1444"/>
      <c r="DC739" s="1444"/>
      <c r="DD739" s="1444"/>
      <c r="DE739" s="1444">
        <f t="shared" si="22"/>
        <v>0</v>
      </c>
      <c r="DF739" s="1444"/>
      <c r="DG739" s="1444"/>
      <c r="DH739" s="1444"/>
      <c r="DI739" s="1444"/>
      <c r="DJ739" s="1444">
        <f t="shared" si="23"/>
        <v>0</v>
      </c>
      <c r="DK739" s="1444"/>
      <c r="DL739" s="1444"/>
      <c r="DM739" s="1444"/>
      <c r="DN739" s="1444"/>
      <c r="DO739" s="1444">
        <f t="shared" si="24"/>
        <v>0</v>
      </c>
      <c r="DP739" s="1444"/>
      <c r="DQ739" s="1444"/>
      <c r="DR739" s="1444"/>
      <c r="DS739" s="1444"/>
      <c r="DT739" s="6"/>
      <c r="DU739" s="1445">
        <f t="shared" si="25"/>
        <v>0</v>
      </c>
      <c r="DV739" s="1445"/>
      <c r="DW739" s="1445"/>
      <c r="DX739" s="1445"/>
      <c r="DY739" s="1445"/>
      <c r="DZ739" s="1445">
        <f t="shared" si="26"/>
        <v>0</v>
      </c>
      <c r="EA739" s="1445"/>
      <c r="EB739" s="1445"/>
      <c r="EC739" s="1445"/>
      <c r="ED739" s="1445"/>
      <c r="EE739" s="1445">
        <f t="shared" si="27"/>
        <v>0</v>
      </c>
      <c r="EF739" s="1445"/>
      <c r="EG739" s="1445"/>
      <c r="EH739" s="1445"/>
      <c r="EI739" s="1445"/>
      <c r="EJ739" s="1445">
        <f t="shared" si="28"/>
        <v>0</v>
      </c>
      <c r="EK739" s="1445"/>
      <c r="EL739" s="1445"/>
      <c r="EM739" s="1445"/>
      <c r="EN739" s="1445"/>
      <c r="EO739" s="1445">
        <f t="shared" si="29"/>
        <v>0</v>
      </c>
      <c r="EP739" s="1445"/>
      <c r="EQ739" s="1445"/>
      <c r="ER739" s="1445"/>
      <c r="ES739" s="1445"/>
      <c r="ET739" s="1445">
        <f t="shared" si="30"/>
        <v>0</v>
      </c>
      <c r="EU739" s="1445"/>
      <c r="EV739" s="1445"/>
      <c r="EW739" s="1445"/>
      <c r="EX739" s="1445"/>
      <c r="EZ739" s="1464" t="str">
        <f t="shared" si="31"/>
        <v/>
      </c>
      <c r="FA739" s="1466"/>
      <c r="FB739" s="1466"/>
      <c r="FC739" s="1466"/>
      <c r="FD739" s="1465"/>
      <c r="FE739" s="1464" t="str">
        <f t="shared" si="32"/>
        <v/>
      </c>
      <c r="FF739" s="1466"/>
      <c r="FG739" s="1466"/>
      <c r="FH739" s="1466"/>
      <c r="FI739" s="1465"/>
      <c r="FJ739" s="1464" t="str">
        <f t="shared" si="33"/>
        <v/>
      </c>
      <c r="FK739" s="1466"/>
      <c r="FL739" s="1466"/>
      <c r="FM739" s="1466"/>
      <c r="FN739" s="1465"/>
      <c r="FO739" s="1464" t="str">
        <f t="shared" si="34"/>
        <v/>
      </c>
      <c r="FP739" s="1466"/>
      <c r="FQ739" s="1466"/>
      <c r="FR739" s="1466"/>
      <c r="FS739" s="1465"/>
      <c r="FT739" s="1464" t="str">
        <f t="shared" si="35"/>
        <v/>
      </c>
      <c r="FU739" s="1466"/>
      <c r="FV739" s="1466"/>
      <c r="FW739" s="1466"/>
      <c r="FX739" s="1465"/>
      <c r="FY739" s="1464" t="str">
        <f t="shared" si="36"/>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9"/>
        <v>0</v>
      </c>
      <c r="Y740" s="1354"/>
      <c r="Z740" s="1354"/>
      <c r="AA740" s="1354"/>
      <c r="AB740" s="1355"/>
      <c r="AC740" s="1360"/>
      <c r="AD740" s="1361"/>
      <c r="AE740" s="1361"/>
      <c r="AF740" s="1361"/>
      <c r="AG740" s="1362"/>
      <c r="AH740" s="1356" t="str">
        <f t="shared" si="37"/>
        <v/>
      </c>
      <c r="AI740" s="1357"/>
      <c r="AJ740" s="1358"/>
      <c r="AK740" s="1337" t="s">
        <v>591</v>
      </c>
      <c r="AL740" s="1338"/>
      <c r="AM740" s="1338"/>
      <c r="AN740" s="1338"/>
      <c r="AO740" s="1339"/>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4">
        <f t="shared" si="38"/>
        <v>0</v>
      </c>
      <c r="CH740" s="1465"/>
      <c r="CI740" s="1470">
        <f t="shared" si="39"/>
        <v>0</v>
      </c>
      <c r="CJ740" s="1471"/>
      <c r="CK740" s="1464">
        <f t="shared" si="17"/>
        <v>0</v>
      </c>
      <c r="CL740" s="1465"/>
      <c r="CM740" s="1470">
        <f t="shared" si="18"/>
        <v>0</v>
      </c>
      <c r="CN740" s="1471"/>
      <c r="CO740" s="3"/>
      <c r="CP740" s="1459">
        <f t="shared" si="19"/>
        <v>0</v>
      </c>
      <c r="CQ740" s="1460"/>
      <c r="CR740" s="1460"/>
      <c r="CS740" s="1460"/>
      <c r="CT740" s="1461"/>
      <c r="CU740" s="1444">
        <f t="shared" si="20"/>
        <v>0</v>
      </c>
      <c r="CV740" s="1444"/>
      <c r="CW740" s="1444"/>
      <c r="CX740" s="1444"/>
      <c r="CY740" s="1444"/>
      <c r="CZ740" s="1444">
        <f t="shared" si="21"/>
        <v>0</v>
      </c>
      <c r="DA740" s="1444"/>
      <c r="DB740" s="1444"/>
      <c r="DC740" s="1444"/>
      <c r="DD740" s="1444"/>
      <c r="DE740" s="1444">
        <f t="shared" si="22"/>
        <v>0</v>
      </c>
      <c r="DF740" s="1444"/>
      <c r="DG740" s="1444"/>
      <c r="DH740" s="1444"/>
      <c r="DI740" s="1444"/>
      <c r="DJ740" s="1444">
        <f t="shared" si="23"/>
        <v>0</v>
      </c>
      <c r="DK740" s="1444"/>
      <c r="DL740" s="1444"/>
      <c r="DM740" s="1444"/>
      <c r="DN740" s="1444"/>
      <c r="DO740" s="1444">
        <f t="shared" si="24"/>
        <v>0</v>
      </c>
      <c r="DP740" s="1444"/>
      <c r="DQ740" s="1444"/>
      <c r="DR740" s="1444"/>
      <c r="DS740" s="1444"/>
      <c r="DT740" s="6"/>
      <c r="DU740" s="1445">
        <f t="shared" si="25"/>
        <v>0</v>
      </c>
      <c r="DV740" s="1445"/>
      <c r="DW740" s="1445"/>
      <c r="DX740" s="1445"/>
      <c r="DY740" s="1445"/>
      <c r="DZ740" s="1445">
        <f t="shared" si="26"/>
        <v>0</v>
      </c>
      <c r="EA740" s="1445"/>
      <c r="EB740" s="1445"/>
      <c r="EC740" s="1445"/>
      <c r="ED740" s="1445"/>
      <c r="EE740" s="1445">
        <f t="shared" si="27"/>
        <v>0</v>
      </c>
      <c r="EF740" s="1445"/>
      <c r="EG740" s="1445"/>
      <c r="EH740" s="1445"/>
      <c r="EI740" s="1445"/>
      <c r="EJ740" s="1445">
        <f t="shared" si="28"/>
        <v>0</v>
      </c>
      <c r="EK740" s="1445"/>
      <c r="EL740" s="1445"/>
      <c r="EM740" s="1445"/>
      <c r="EN740" s="1445"/>
      <c r="EO740" s="1445">
        <f t="shared" si="29"/>
        <v>0</v>
      </c>
      <c r="EP740" s="1445"/>
      <c r="EQ740" s="1445"/>
      <c r="ER740" s="1445"/>
      <c r="ES740" s="1445"/>
      <c r="ET740" s="1445">
        <f t="shared" si="30"/>
        <v>0</v>
      </c>
      <c r="EU740" s="1445"/>
      <c r="EV740" s="1445"/>
      <c r="EW740" s="1445"/>
      <c r="EX740" s="1445"/>
      <c r="EZ740" s="1464" t="str">
        <f t="shared" si="31"/>
        <v/>
      </c>
      <c r="FA740" s="1466"/>
      <c r="FB740" s="1466"/>
      <c r="FC740" s="1466"/>
      <c r="FD740" s="1465"/>
      <c r="FE740" s="1464" t="str">
        <f t="shared" si="32"/>
        <v/>
      </c>
      <c r="FF740" s="1466"/>
      <c r="FG740" s="1466"/>
      <c r="FH740" s="1466"/>
      <c r="FI740" s="1465"/>
      <c r="FJ740" s="1464" t="str">
        <f t="shared" si="33"/>
        <v/>
      </c>
      <c r="FK740" s="1466"/>
      <c r="FL740" s="1466"/>
      <c r="FM740" s="1466"/>
      <c r="FN740" s="1465"/>
      <c r="FO740" s="1464" t="str">
        <f t="shared" si="34"/>
        <v/>
      </c>
      <c r="FP740" s="1466"/>
      <c r="FQ740" s="1466"/>
      <c r="FR740" s="1466"/>
      <c r="FS740" s="1465"/>
      <c r="FT740" s="1464" t="str">
        <f t="shared" si="35"/>
        <v/>
      </c>
      <c r="FU740" s="1466"/>
      <c r="FV740" s="1466"/>
      <c r="FW740" s="1466"/>
      <c r="FX740" s="1465"/>
      <c r="FY740" s="1464" t="str">
        <f t="shared" si="36"/>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9"/>
        <v>0</v>
      </c>
      <c r="Y741" s="1354"/>
      <c r="Z741" s="1354"/>
      <c r="AA741" s="1354"/>
      <c r="AB741" s="1355"/>
      <c r="AC741" s="1360"/>
      <c r="AD741" s="1361"/>
      <c r="AE741" s="1361"/>
      <c r="AF741" s="1361"/>
      <c r="AG741" s="1362"/>
      <c r="AH741" s="1356" t="str">
        <f t="shared" si="37"/>
        <v/>
      </c>
      <c r="AI741" s="1357"/>
      <c r="AJ741" s="1358"/>
      <c r="AK741" s="1337" t="s">
        <v>591</v>
      </c>
      <c r="AL741" s="1338"/>
      <c r="AM741" s="1338"/>
      <c r="AN741" s="1338"/>
      <c r="AO741" s="1339"/>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4">
        <f t="shared" si="38"/>
        <v>0</v>
      </c>
      <c r="CH741" s="1465"/>
      <c r="CI741" s="1470">
        <f t="shared" si="39"/>
        <v>0</v>
      </c>
      <c r="CJ741" s="1471"/>
      <c r="CK741" s="1464">
        <f t="shared" si="17"/>
        <v>0</v>
      </c>
      <c r="CL741" s="1465"/>
      <c r="CM741" s="1470">
        <f t="shared" si="18"/>
        <v>0</v>
      </c>
      <c r="CN741" s="1471"/>
      <c r="CO741" s="3"/>
      <c r="CP741" s="1459">
        <f t="shared" si="19"/>
        <v>0</v>
      </c>
      <c r="CQ741" s="1460"/>
      <c r="CR741" s="1460"/>
      <c r="CS741" s="1460"/>
      <c r="CT741" s="1461"/>
      <c r="CU741" s="1444">
        <f t="shared" si="20"/>
        <v>0</v>
      </c>
      <c r="CV741" s="1444"/>
      <c r="CW741" s="1444"/>
      <c r="CX741" s="1444"/>
      <c r="CY741" s="1444"/>
      <c r="CZ741" s="1444">
        <f t="shared" si="21"/>
        <v>0</v>
      </c>
      <c r="DA741" s="1444"/>
      <c r="DB741" s="1444"/>
      <c r="DC741" s="1444"/>
      <c r="DD741" s="1444"/>
      <c r="DE741" s="1444">
        <f t="shared" si="22"/>
        <v>0</v>
      </c>
      <c r="DF741" s="1444"/>
      <c r="DG741" s="1444"/>
      <c r="DH741" s="1444"/>
      <c r="DI741" s="1444"/>
      <c r="DJ741" s="1444">
        <f t="shared" si="23"/>
        <v>0</v>
      </c>
      <c r="DK741" s="1444"/>
      <c r="DL741" s="1444"/>
      <c r="DM741" s="1444"/>
      <c r="DN741" s="1444"/>
      <c r="DO741" s="1444">
        <f t="shared" si="24"/>
        <v>0</v>
      </c>
      <c r="DP741" s="1444"/>
      <c r="DQ741" s="1444"/>
      <c r="DR741" s="1444"/>
      <c r="DS741" s="1444"/>
      <c r="DT741" s="6"/>
      <c r="DU741" s="1445">
        <f t="shared" si="25"/>
        <v>0</v>
      </c>
      <c r="DV741" s="1445"/>
      <c r="DW741" s="1445"/>
      <c r="DX741" s="1445"/>
      <c r="DY741" s="1445"/>
      <c r="DZ741" s="1445">
        <f t="shared" si="26"/>
        <v>0</v>
      </c>
      <c r="EA741" s="1445"/>
      <c r="EB741" s="1445"/>
      <c r="EC741" s="1445"/>
      <c r="ED741" s="1445"/>
      <c r="EE741" s="1445">
        <f t="shared" si="27"/>
        <v>0</v>
      </c>
      <c r="EF741" s="1445"/>
      <c r="EG741" s="1445"/>
      <c r="EH741" s="1445"/>
      <c r="EI741" s="1445"/>
      <c r="EJ741" s="1445">
        <f t="shared" si="28"/>
        <v>0</v>
      </c>
      <c r="EK741" s="1445"/>
      <c r="EL741" s="1445"/>
      <c r="EM741" s="1445"/>
      <c r="EN741" s="1445"/>
      <c r="EO741" s="1445">
        <f t="shared" si="29"/>
        <v>0</v>
      </c>
      <c r="EP741" s="1445"/>
      <c r="EQ741" s="1445"/>
      <c r="ER741" s="1445"/>
      <c r="ES741" s="1445"/>
      <c r="ET741" s="1445">
        <f t="shared" si="30"/>
        <v>0</v>
      </c>
      <c r="EU741" s="1445"/>
      <c r="EV741" s="1445"/>
      <c r="EW741" s="1445"/>
      <c r="EX741" s="1445"/>
      <c r="EZ741" s="1464" t="str">
        <f t="shared" si="31"/>
        <v/>
      </c>
      <c r="FA741" s="1466"/>
      <c r="FB741" s="1466"/>
      <c r="FC741" s="1466"/>
      <c r="FD741" s="1465"/>
      <c r="FE741" s="1464" t="str">
        <f t="shared" si="32"/>
        <v/>
      </c>
      <c r="FF741" s="1466"/>
      <c r="FG741" s="1466"/>
      <c r="FH741" s="1466"/>
      <c r="FI741" s="1465"/>
      <c r="FJ741" s="1464" t="str">
        <f t="shared" si="33"/>
        <v/>
      </c>
      <c r="FK741" s="1466"/>
      <c r="FL741" s="1466"/>
      <c r="FM741" s="1466"/>
      <c r="FN741" s="1465"/>
      <c r="FO741" s="1464" t="str">
        <f t="shared" si="34"/>
        <v/>
      </c>
      <c r="FP741" s="1466"/>
      <c r="FQ741" s="1466"/>
      <c r="FR741" s="1466"/>
      <c r="FS741" s="1465"/>
      <c r="FT741" s="1464" t="str">
        <f t="shared" si="35"/>
        <v/>
      </c>
      <c r="FU741" s="1466"/>
      <c r="FV741" s="1466"/>
      <c r="FW741" s="1466"/>
      <c r="FX741" s="1465"/>
      <c r="FY741" s="1464" t="str">
        <f t="shared" si="36"/>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40">O742+T742</f>
        <v>0</v>
      </c>
      <c r="Y742" s="1354"/>
      <c r="Z742" s="1354"/>
      <c r="AA742" s="1354"/>
      <c r="AB742" s="1355"/>
      <c r="AC742" s="1360"/>
      <c r="AD742" s="1361"/>
      <c r="AE742" s="1361"/>
      <c r="AF742" s="1361"/>
      <c r="AG742" s="1362"/>
      <c r="AH742" s="1356" t="str">
        <f t="shared" si="37"/>
        <v/>
      </c>
      <c r="AI742" s="1357"/>
      <c r="AJ742" s="1358"/>
      <c r="AK742" s="1337" t="s">
        <v>591</v>
      </c>
      <c r="AL742" s="1338"/>
      <c r="AM742" s="1338"/>
      <c r="AN742" s="1338"/>
      <c r="AO742" s="1339"/>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4">
        <f t="shared" si="38"/>
        <v>0</v>
      </c>
      <c r="CH742" s="1465"/>
      <c r="CI742" s="1470">
        <f t="shared" si="39"/>
        <v>0</v>
      </c>
      <c r="CJ742" s="1471"/>
      <c r="CK742" s="1464">
        <f t="shared" si="17"/>
        <v>0</v>
      </c>
      <c r="CL742" s="1465"/>
      <c r="CM742" s="1470">
        <f t="shared" si="18"/>
        <v>0</v>
      </c>
      <c r="CN742" s="1471"/>
      <c r="CO742" s="3"/>
      <c r="CP742" s="1459">
        <f t="shared" si="19"/>
        <v>0</v>
      </c>
      <c r="CQ742" s="1460"/>
      <c r="CR742" s="1460"/>
      <c r="CS742" s="1460"/>
      <c r="CT742" s="1461"/>
      <c r="CU742" s="1444">
        <f t="shared" si="20"/>
        <v>0</v>
      </c>
      <c r="CV742" s="1444"/>
      <c r="CW742" s="1444"/>
      <c r="CX742" s="1444"/>
      <c r="CY742" s="1444"/>
      <c r="CZ742" s="1444">
        <f t="shared" si="21"/>
        <v>0</v>
      </c>
      <c r="DA742" s="1444"/>
      <c r="DB742" s="1444"/>
      <c r="DC742" s="1444"/>
      <c r="DD742" s="1444"/>
      <c r="DE742" s="1444">
        <f t="shared" si="22"/>
        <v>0</v>
      </c>
      <c r="DF742" s="1444"/>
      <c r="DG742" s="1444"/>
      <c r="DH742" s="1444"/>
      <c r="DI742" s="1444"/>
      <c r="DJ742" s="1444">
        <f t="shared" si="23"/>
        <v>0</v>
      </c>
      <c r="DK742" s="1444"/>
      <c r="DL742" s="1444"/>
      <c r="DM742" s="1444"/>
      <c r="DN742" s="1444"/>
      <c r="DO742" s="1444">
        <f t="shared" si="24"/>
        <v>0</v>
      </c>
      <c r="DP742" s="1444"/>
      <c r="DQ742" s="1444"/>
      <c r="DR742" s="1444"/>
      <c r="DS742" s="1444"/>
      <c r="DT742" s="6"/>
      <c r="DU742" s="1445">
        <f t="shared" si="25"/>
        <v>0</v>
      </c>
      <c r="DV742" s="1445"/>
      <c r="DW742" s="1445"/>
      <c r="DX742" s="1445"/>
      <c r="DY742" s="1445"/>
      <c r="DZ742" s="1445">
        <f t="shared" si="26"/>
        <v>0</v>
      </c>
      <c r="EA742" s="1445"/>
      <c r="EB742" s="1445"/>
      <c r="EC742" s="1445"/>
      <c r="ED742" s="1445"/>
      <c r="EE742" s="1445">
        <f t="shared" si="27"/>
        <v>0</v>
      </c>
      <c r="EF742" s="1445"/>
      <c r="EG742" s="1445"/>
      <c r="EH742" s="1445"/>
      <c r="EI742" s="1445"/>
      <c r="EJ742" s="1445">
        <f t="shared" si="28"/>
        <v>0</v>
      </c>
      <c r="EK742" s="1445"/>
      <c r="EL742" s="1445"/>
      <c r="EM742" s="1445"/>
      <c r="EN742" s="1445"/>
      <c r="EO742" s="1445">
        <f t="shared" si="29"/>
        <v>0</v>
      </c>
      <c r="EP742" s="1445"/>
      <c r="EQ742" s="1445"/>
      <c r="ER742" s="1445"/>
      <c r="ES742" s="1445"/>
      <c r="ET742" s="1445">
        <f t="shared" si="30"/>
        <v>0</v>
      </c>
      <c r="EU742" s="1445"/>
      <c r="EV742" s="1445"/>
      <c r="EW742" s="1445"/>
      <c r="EX742" s="1445"/>
      <c r="EZ742" s="1464" t="str">
        <f t="shared" si="31"/>
        <v/>
      </c>
      <c r="FA742" s="1466"/>
      <c r="FB742" s="1466"/>
      <c r="FC742" s="1466"/>
      <c r="FD742" s="1465"/>
      <c r="FE742" s="1464" t="str">
        <f t="shared" si="32"/>
        <v/>
      </c>
      <c r="FF742" s="1466"/>
      <c r="FG742" s="1466"/>
      <c r="FH742" s="1466"/>
      <c r="FI742" s="1465"/>
      <c r="FJ742" s="1464" t="str">
        <f t="shared" si="33"/>
        <v/>
      </c>
      <c r="FK742" s="1466"/>
      <c r="FL742" s="1466"/>
      <c r="FM742" s="1466"/>
      <c r="FN742" s="1465"/>
      <c r="FO742" s="1464" t="str">
        <f t="shared" si="34"/>
        <v/>
      </c>
      <c r="FP742" s="1466"/>
      <c r="FQ742" s="1466"/>
      <c r="FR742" s="1466"/>
      <c r="FS742" s="1465"/>
      <c r="FT742" s="1464" t="str">
        <f t="shared" si="35"/>
        <v/>
      </c>
      <c r="FU742" s="1466"/>
      <c r="FV742" s="1466"/>
      <c r="FW742" s="1466"/>
      <c r="FX742" s="1465"/>
      <c r="FY742" s="1464" t="str">
        <f t="shared" si="36"/>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40"/>
        <v>0</v>
      </c>
      <c r="Y743" s="1354"/>
      <c r="Z743" s="1354"/>
      <c r="AA743" s="1354"/>
      <c r="AB743" s="1355"/>
      <c r="AC743" s="1360"/>
      <c r="AD743" s="1361"/>
      <c r="AE743" s="1361"/>
      <c r="AF743" s="1361"/>
      <c r="AG743" s="1362"/>
      <c r="AH743" s="1356" t="str">
        <f t="shared" si="37"/>
        <v/>
      </c>
      <c r="AI743" s="1357"/>
      <c r="AJ743" s="1358"/>
      <c r="AK743" s="1337" t="s">
        <v>591</v>
      </c>
      <c r="AL743" s="1338"/>
      <c r="AM743" s="1338"/>
      <c r="AN743" s="1338"/>
      <c r="AO743" s="1339"/>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4">
        <f t="shared" si="38"/>
        <v>0</v>
      </c>
      <c r="CH743" s="1465"/>
      <c r="CI743" s="1470">
        <f t="shared" si="39"/>
        <v>0</v>
      </c>
      <c r="CJ743" s="1471"/>
      <c r="CK743" s="1464">
        <f t="shared" si="17"/>
        <v>0</v>
      </c>
      <c r="CL743" s="1465"/>
      <c r="CM743" s="1470">
        <f t="shared" si="18"/>
        <v>0</v>
      </c>
      <c r="CN743" s="1471"/>
      <c r="CP743" s="1459">
        <f t="shared" si="19"/>
        <v>0</v>
      </c>
      <c r="CQ743" s="1460"/>
      <c r="CR743" s="1460"/>
      <c r="CS743" s="1460"/>
      <c r="CT743" s="1461"/>
      <c r="CU743" s="1444">
        <f t="shared" si="20"/>
        <v>0</v>
      </c>
      <c r="CV743" s="1444"/>
      <c r="CW743" s="1444"/>
      <c r="CX743" s="1444"/>
      <c r="CY743" s="1444"/>
      <c r="CZ743" s="1444">
        <f t="shared" si="21"/>
        <v>0</v>
      </c>
      <c r="DA743" s="1444"/>
      <c r="DB743" s="1444"/>
      <c r="DC743" s="1444"/>
      <c r="DD743" s="1444"/>
      <c r="DE743" s="1444">
        <f t="shared" si="22"/>
        <v>0</v>
      </c>
      <c r="DF743" s="1444"/>
      <c r="DG743" s="1444"/>
      <c r="DH743" s="1444"/>
      <c r="DI743" s="1444"/>
      <c r="DJ743" s="1444">
        <f t="shared" si="23"/>
        <v>0</v>
      </c>
      <c r="DK743" s="1444"/>
      <c r="DL743" s="1444"/>
      <c r="DM743" s="1444"/>
      <c r="DN743" s="1444"/>
      <c r="DO743" s="1444">
        <f t="shared" si="24"/>
        <v>0</v>
      </c>
      <c r="DP743" s="1444"/>
      <c r="DQ743" s="1444"/>
      <c r="DR743" s="1444"/>
      <c r="DS743" s="1444"/>
      <c r="DT743" s="6"/>
      <c r="DU743" s="1445">
        <f t="shared" si="25"/>
        <v>0</v>
      </c>
      <c r="DV743" s="1445"/>
      <c r="DW743" s="1445"/>
      <c r="DX743" s="1445"/>
      <c r="DY743" s="1445"/>
      <c r="DZ743" s="1445">
        <f t="shared" si="26"/>
        <v>0</v>
      </c>
      <c r="EA743" s="1445"/>
      <c r="EB743" s="1445"/>
      <c r="EC743" s="1445"/>
      <c r="ED743" s="1445"/>
      <c r="EE743" s="1445">
        <f t="shared" si="27"/>
        <v>0</v>
      </c>
      <c r="EF743" s="1445"/>
      <c r="EG743" s="1445"/>
      <c r="EH743" s="1445"/>
      <c r="EI743" s="1445"/>
      <c r="EJ743" s="1445">
        <f t="shared" si="28"/>
        <v>0</v>
      </c>
      <c r="EK743" s="1445"/>
      <c r="EL743" s="1445"/>
      <c r="EM743" s="1445"/>
      <c r="EN743" s="1445"/>
      <c r="EO743" s="1445">
        <f t="shared" si="29"/>
        <v>0</v>
      </c>
      <c r="EP743" s="1445"/>
      <c r="EQ743" s="1445"/>
      <c r="ER743" s="1445"/>
      <c r="ES743" s="1445"/>
      <c r="ET743" s="1445">
        <f t="shared" si="30"/>
        <v>0</v>
      </c>
      <c r="EU743" s="1445"/>
      <c r="EV743" s="1445"/>
      <c r="EW743" s="1445"/>
      <c r="EX743" s="1445"/>
      <c r="EY743"/>
      <c r="EZ743" s="1464" t="str">
        <f t="shared" si="31"/>
        <v/>
      </c>
      <c r="FA743" s="1466"/>
      <c r="FB743" s="1466"/>
      <c r="FC743" s="1466"/>
      <c r="FD743" s="1465"/>
      <c r="FE743" s="1464" t="str">
        <f t="shared" si="32"/>
        <v/>
      </c>
      <c r="FF743" s="1466"/>
      <c r="FG743" s="1466"/>
      <c r="FH743" s="1466"/>
      <c r="FI743" s="1465"/>
      <c r="FJ743" s="1464" t="str">
        <f t="shared" si="33"/>
        <v/>
      </c>
      <c r="FK743" s="1466"/>
      <c r="FL743" s="1466"/>
      <c r="FM743" s="1466"/>
      <c r="FN743" s="1465"/>
      <c r="FO743" s="1464" t="str">
        <f t="shared" si="34"/>
        <v/>
      </c>
      <c r="FP743" s="1466"/>
      <c r="FQ743" s="1466"/>
      <c r="FR743" s="1466"/>
      <c r="FS743" s="1465"/>
      <c r="FT743" s="1464" t="str">
        <f t="shared" si="35"/>
        <v/>
      </c>
      <c r="FU743" s="1466"/>
      <c r="FV743" s="1466"/>
      <c r="FW743" s="1466"/>
      <c r="FX743" s="1465"/>
      <c r="FY743" s="1464" t="str">
        <f t="shared" si="36"/>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40"/>
        <v>0</v>
      </c>
      <c r="Y744" s="1354"/>
      <c r="Z744" s="1354"/>
      <c r="AA744" s="1354"/>
      <c r="AB744" s="1355"/>
      <c r="AC744" s="1360"/>
      <c r="AD744" s="1361"/>
      <c r="AE744" s="1361"/>
      <c r="AF744" s="1361"/>
      <c r="AG744" s="1362"/>
      <c r="AH744" s="1356" t="str">
        <f t="shared" si="37"/>
        <v/>
      </c>
      <c r="AI744" s="1357"/>
      <c r="AJ744" s="1358"/>
      <c r="AK744" s="1337" t="s">
        <v>591</v>
      </c>
      <c r="AL744" s="1338"/>
      <c r="AM744" s="1338"/>
      <c r="AN744" s="1338"/>
      <c r="AO744" s="1339"/>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4">
        <f t="shared" si="38"/>
        <v>0</v>
      </c>
      <c r="CH744" s="1465"/>
      <c r="CI744" s="1470">
        <f t="shared" si="39"/>
        <v>0</v>
      </c>
      <c r="CJ744" s="1471"/>
      <c r="CK744" s="1464">
        <f t="shared" si="17"/>
        <v>0</v>
      </c>
      <c r="CL744" s="1465"/>
      <c r="CM744" s="1470">
        <f t="shared" si="18"/>
        <v>0</v>
      </c>
      <c r="CN744" s="1471"/>
      <c r="CO744" s="3"/>
      <c r="CP744" s="1459">
        <f t="shared" si="19"/>
        <v>0</v>
      </c>
      <c r="CQ744" s="1460"/>
      <c r="CR744" s="1460"/>
      <c r="CS744" s="1460"/>
      <c r="CT744" s="1461"/>
      <c r="CU744" s="1444">
        <f t="shared" si="20"/>
        <v>0</v>
      </c>
      <c r="CV744" s="1444"/>
      <c r="CW744" s="1444"/>
      <c r="CX744" s="1444"/>
      <c r="CY744" s="1444"/>
      <c r="CZ744" s="1444">
        <f t="shared" si="21"/>
        <v>0</v>
      </c>
      <c r="DA744" s="1444"/>
      <c r="DB744" s="1444"/>
      <c r="DC744" s="1444"/>
      <c r="DD744" s="1444"/>
      <c r="DE744" s="1444">
        <f t="shared" si="22"/>
        <v>0</v>
      </c>
      <c r="DF744" s="1444"/>
      <c r="DG744" s="1444"/>
      <c r="DH744" s="1444"/>
      <c r="DI744" s="1444"/>
      <c r="DJ744" s="1444">
        <f t="shared" si="23"/>
        <v>0</v>
      </c>
      <c r="DK744" s="1444"/>
      <c r="DL744" s="1444"/>
      <c r="DM744" s="1444"/>
      <c r="DN744" s="1444"/>
      <c r="DO744" s="1444">
        <f t="shared" si="24"/>
        <v>0</v>
      </c>
      <c r="DP744" s="1444"/>
      <c r="DQ744" s="1444"/>
      <c r="DR744" s="1444"/>
      <c r="DS744" s="1444"/>
      <c r="DT744" s="6"/>
      <c r="DU744" s="1445">
        <f t="shared" si="25"/>
        <v>0</v>
      </c>
      <c r="DV744" s="1445"/>
      <c r="DW744" s="1445"/>
      <c r="DX744" s="1445"/>
      <c r="DY744" s="1445"/>
      <c r="DZ744" s="1445">
        <f t="shared" si="26"/>
        <v>0</v>
      </c>
      <c r="EA744" s="1445"/>
      <c r="EB744" s="1445"/>
      <c r="EC744" s="1445"/>
      <c r="ED744" s="1445"/>
      <c r="EE744" s="1445">
        <f t="shared" si="27"/>
        <v>0</v>
      </c>
      <c r="EF744" s="1445"/>
      <c r="EG744" s="1445"/>
      <c r="EH744" s="1445"/>
      <c r="EI744" s="1445"/>
      <c r="EJ744" s="1445">
        <f t="shared" si="28"/>
        <v>0</v>
      </c>
      <c r="EK744" s="1445"/>
      <c r="EL744" s="1445"/>
      <c r="EM744" s="1445"/>
      <c r="EN744" s="1445"/>
      <c r="EO744" s="1445">
        <f t="shared" si="29"/>
        <v>0</v>
      </c>
      <c r="EP744" s="1445"/>
      <c r="EQ744" s="1445"/>
      <c r="ER744" s="1445"/>
      <c r="ES744" s="1445"/>
      <c r="ET744" s="1445">
        <f t="shared" si="30"/>
        <v>0</v>
      </c>
      <c r="EU744" s="1445"/>
      <c r="EV744" s="1445"/>
      <c r="EW744" s="1445"/>
      <c r="EX744" s="1445"/>
      <c r="EZ744" s="1464" t="str">
        <f t="shared" si="31"/>
        <v/>
      </c>
      <c r="FA744" s="1466"/>
      <c r="FB744" s="1466"/>
      <c r="FC744" s="1466"/>
      <c r="FD744" s="1465"/>
      <c r="FE744" s="1464" t="str">
        <f t="shared" si="32"/>
        <v/>
      </c>
      <c r="FF744" s="1466"/>
      <c r="FG744" s="1466"/>
      <c r="FH744" s="1466"/>
      <c r="FI744" s="1465"/>
      <c r="FJ744" s="1464" t="str">
        <f t="shared" si="33"/>
        <v/>
      </c>
      <c r="FK744" s="1466"/>
      <c r="FL744" s="1466"/>
      <c r="FM744" s="1466"/>
      <c r="FN744" s="1465"/>
      <c r="FO744" s="1464" t="str">
        <f t="shared" si="34"/>
        <v/>
      </c>
      <c r="FP744" s="1466"/>
      <c r="FQ744" s="1466"/>
      <c r="FR744" s="1466"/>
      <c r="FS744" s="1465"/>
      <c r="FT744" s="1464" t="str">
        <f t="shared" si="35"/>
        <v/>
      </c>
      <c r="FU744" s="1466"/>
      <c r="FV744" s="1466"/>
      <c r="FW744" s="1466"/>
      <c r="FX744" s="1465"/>
      <c r="FY744" s="1464" t="str">
        <f t="shared" si="36"/>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40"/>
        <v>0</v>
      </c>
      <c r="Y745" s="1354"/>
      <c r="Z745" s="1354"/>
      <c r="AA745" s="1354"/>
      <c r="AB745" s="1355"/>
      <c r="AC745" s="1360"/>
      <c r="AD745" s="1361"/>
      <c r="AE745" s="1361"/>
      <c r="AF745" s="1361"/>
      <c r="AG745" s="1362"/>
      <c r="AH745" s="1356" t="str">
        <f t="shared" si="37"/>
        <v/>
      </c>
      <c r="AI745" s="1357"/>
      <c r="AJ745" s="1358"/>
      <c r="AK745" s="1337" t="s">
        <v>591</v>
      </c>
      <c r="AL745" s="1338"/>
      <c r="AM745" s="1338"/>
      <c r="AN745" s="1338"/>
      <c r="AO745" s="1339"/>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4">
        <f t="shared" si="38"/>
        <v>0</v>
      </c>
      <c r="CH745" s="1465"/>
      <c r="CI745" s="1470">
        <f t="shared" si="39"/>
        <v>0</v>
      </c>
      <c r="CJ745" s="1471"/>
      <c r="CK745" s="1464">
        <f t="shared" si="17"/>
        <v>0</v>
      </c>
      <c r="CL745" s="1465"/>
      <c r="CM745" s="1470">
        <f t="shared" si="18"/>
        <v>0</v>
      </c>
      <c r="CN745" s="1471"/>
      <c r="CO745" s="3"/>
      <c r="CP745" s="1459">
        <f t="shared" si="19"/>
        <v>0</v>
      </c>
      <c r="CQ745" s="1460"/>
      <c r="CR745" s="1460"/>
      <c r="CS745" s="1460"/>
      <c r="CT745" s="1461"/>
      <c r="CU745" s="1444">
        <f t="shared" si="20"/>
        <v>0</v>
      </c>
      <c r="CV745" s="1444"/>
      <c r="CW745" s="1444"/>
      <c r="CX745" s="1444"/>
      <c r="CY745" s="1444"/>
      <c r="CZ745" s="1444">
        <f t="shared" si="21"/>
        <v>0</v>
      </c>
      <c r="DA745" s="1444"/>
      <c r="DB745" s="1444"/>
      <c r="DC745" s="1444"/>
      <c r="DD745" s="1444"/>
      <c r="DE745" s="1444">
        <f t="shared" si="22"/>
        <v>0</v>
      </c>
      <c r="DF745" s="1444"/>
      <c r="DG745" s="1444"/>
      <c r="DH745" s="1444"/>
      <c r="DI745" s="1444"/>
      <c r="DJ745" s="1444">
        <f t="shared" si="23"/>
        <v>0</v>
      </c>
      <c r="DK745" s="1444"/>
      <c r="DL745" s="1444"/>
      <c r="DM745" s="1444"/>
      <c r="DN745" s="1444"/>
      <c r="DO745" s="1444">
        <f t="shared" si="24"/>
        <v>0</v>
      </c>
      <c r="DP745" s="1444"/>
      <c r="DQ745" s="1444"/>
      <c r="DR745" s="1444"/>
      <c r="DS745" s="1444"/>
      <c r="DT745" s="6"/>
      <c r="DU745" s="1445">
        <f t="shared" si="25"/>
        <v>0</v>
      </c>
      <c r="DV745" s="1445"/>
      <c r="DW745" s="1445"/>
      <c r="DX745" s="1445"/>
      <c r="DY745" s="1445"/>
      <c r="DZ745" s="1445">
        <f t="shared" si="26"/>
        <v>0</v>
      </c>
      <c r="EA745" s="1445"/>
      <c r="EB745" s="1445"/>
      <c r="EC745" s="1445"/>
      <c r="ED745" s="1445"/>
      <c r="EE745" s="1445">
        <f t="shared" si="27"/>
        <v>0</v>
      </c>
      <c r="EF745" s="1445"/>
      <c r="EG745" s="1445"/>
      <c r="EH745" s="1445"/>
      <c r="EI745" s="1445"/>
      <c r="EJ745" s="1445">
        <f t="shared" si="28"/>
        <v>0</v>
      </c>
      <c r="EK745" s="1445"/>
      <c r="EL745" s="1445"/>
      <c r="EM745" s="1445"/>
      <c r="EN745" s="1445"/>
      <c r="EO745" s="1445">
        <f t="shared" si="29"/>
        <v>0</v>
      </c>
      <c r="EP745" s="1445"/>
      <c r="EQ745" s="1445"/>
      <c r="ER745" s="1445"/>
      <c r="ES745" s="1445"/>
      <c r="ET745" s="1445">
        <f t="shared" si="30"/>
        <v>0</v>
      </c>
      <c r="EU745" s="1445"/>
      <c r="EV745" s="1445"/>
      <c r="EW745" s="1445"/>
      <c r="EX745" s="1445"/>
      <c r="EZ745" s="1464" t="str">
        <f t="shared" si="31"/>
        <v/>
      </c>
      <c r="FA745" s="1466"/>
      <c r="FB745" s="1466"/>
      <c r="FC745" s="1466"/>
      <c r="FD745" s="1465"/>
      <c r="FE745" s="1464" t="str">
        <f t="shared" si="32"/>
        <v/>
      </c>
      <c r="FF745" s="1466"/>
      <c r="FG745" s="1466"/>
      <c r="FH745" s="1466"/>
      <c r="FI745" s="1465"/>
      <c r="FJ745" s="1464" t="str">
        <f t="shared" si="33"/>
        <v/>
      </c>
      <c r="FK745" s="1466"/>
      <c r="FL745" s="1466"/>
      <c r="FM745" s="1466"/>
      <c r="FN745" s="1465"/>
      <c r="FO745" s="1464" t="str">
        <f t="shared" si="34"/>
        <v/>
      </c>
      <c r="FP745" s="1466"/>
      <c r="FQ745" s="1466"/>
      <c r="FR745" s="1466"/>
      <c r="FS745" s="1465"/>
      <c r="FT745" s="1464" t="str">
        <f t="shared" si="35"/>
        <v/>
      </c>
      <c r="FU745" s="1466"/>
      <c r="FV745" s="1466"/>
      <c r="FW745" s="1466"/>
      <c r="FX745" s="1465"/>
      <c r="FY745" s="1464" t="str">
        <f t="shared" si="36"/>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40"/>
        <v>0</v>
      </c>
      <c r="Y746" s="1354"/>
      <c r="Z746" s="1354"/>
      <c r="AA746" s="1354"/>
      <c r="AB746" s="1355"/>
      <c r="AC746" s="1360"/>
      <c r="AD746" s="1361"/>
      <c r="AE746" s="1361"/>
      <c r="AF746" s="1361"/>
      <c r="AG746" s="1362"/>
      <c r="AH746" s="1356" t="str">
        <f t="shared" si="37"/>
        <v/>
      </c>
      <c r="AI746" s="1357"/>
      <c r="AJ746" s="1358"/>
      <c r="AK746" s="1337" t="s">
        <v>591</v>
      </c>
      <c r="AL746" s="1338"/>
      <c r="AM746" s="1338"/>
      <c r="AN746" s="1338"/>
      <c r="AO746" s="1339"/>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4">
        <f t="shared" si="38"/>
        <v>0</v>
      </c>
      <c r="CH746" s="1465"/>
      <c r="CI746" s="1470">
        <f t="shared" si="39"/>
        <v>0</v>
      </c>
      <c r="CJ746" s="1471"/>
      <c r="CK746" s="1464">
        <f t="shared" si="17"/>
        <v>0</v>
      </c>
      <c r="CL746" s="1465"/>
      <c r="CM746" s="1470">
        <f t="shared" si="18"/>
        <v>0</v>
      </c>
      <c r="CN746" s="1471"/>
      <c r="CO746" s="3"/>
      <c r="CP746" s="1459">
        <f t="shared" si="19"/>
        <v>0</v>
      </c>
      <c r="CQ746" s="1460"/>
      <c r="CR746" s="1460"/>
      <c r="CS746" s="1460"/>
      <c r="CT746" s="1461"/>
      <c r="CU746" s="1444">
        <f t="shared" si="20"/>
        <v>0</v>
      </c>
      <c r="CV746" s="1444"/>
      <c r="CW746" s="1444"/>
      <c r="CX746" s="1444"/>
      <c r="CY746" s="1444"/>
      <c r="CZ746" s="1444">
        <f t="shared" si="21"/>
        <v>0</v>
      </c>
      <c r="DA746" s="1444"/>
      <c r="DB746" s="1444"/>
      <c r="DC746" s="1444"/>
      <c r="DD746" s="1444"/>
      <c r="DE746" s="1444">
        <f t="shared" si="22"/>
        <v>0</v>
      </c>
      <c r="DF746" s="1444"/>
      <c r="DG746" s="1444"/>
      <c r="DH746" s="1444"/>
      <c r="DI746" s="1444"/>
      <c r="DJ746" s="1444">
        <f t="shared" si="23"/>
        <v>0</v>
      </c>
      <c r="DK746" s="1444"/>
      <c r="DL746" s="1444"/>
      <c r="DM746" s="1444"/>
      <c r="DN746" s="1444"/>
      <c r="DO746" s="1444">
        <f t="shared" si="24"/>
        <v>0</v>
      </c>
      <c r="DP746" s="1444"/>
      <c r="DQ746" s="1444"/>
      <c r="DR746" s="1444"/>
      <c r="DS746" s="1444"/>
      <c r="DT746" s="6"/>
      <c r="DU746" s="1445">
        <f t="shared" si="25"/>
        <v>0</v>
      </c>
      <c r="DV746" s="1445"/>
      <c r="DW746" s="1445"/>
      <c r="DX746" s="1445"/>
      <c r="DY746" s="1445"/>
      <c r="DZ746" s="1445">
        <f t="shared" si="26"/>
        <v>0</v>
      </c>
      <c r="EA746" s="1445"/>
      <c r="EB746" s="1445"/>
      <c r="EC746" s="1445"/>
      <c r="ED746" s="1445"/>
      <c r="EE746" s="1445">
        <f t="shared" si="27"/>
        <v>0</v>
      </c>
      <c r="EF746" s="1445"/>
      <c r="EG746" s="1445"/>
      <c r="EH746" s="1445"/>
      <c r="EI746" s="1445"/>
      <c r="EJ746" s="1445">
        <f t="shared" si="28"/>
        <v>0</v>
      </c>
      <c r="EK746" s="1445"/>
      <c r="EL746" s="1445"/>
      <c r="EM746" s="1445"/>
      <c r="EN746" s="1445"/>
      <c r="EO746" s="1445">
        <f t="shared" si="29"/>
        <v>0</v>
      </c>
      <c r="EP746" s="1445"/>
      <c r="EQ746" s="1445"/>
      <c r="ER746" s="1445"/>
      <c r="ES746" s="1445"/>
      <c r="ET746" s="1445">
        <f t="shared" si="30"/>
        <v>0</v>
      </c>
      <c r="EU746" s="1445"/>
      <c r="EV746" s="1445"/>
      <c r="EW746" s="1445"/>
      <c r="EX746" s="1445"/>
      <c r="EZ746" s="1464" t="str">
        <f t="shared" si="31"/>
        <v/>
      </c>
      <c r="FA746" s="1466"/>
      <c r="FB746" s="1466"/>
      <c r="FC746" s="1466"/>
      <c r="FD746" s="1465"/>
      <c r="FE746" s="1464" t="str">
        <f t="shared" si="32"/>
        <v/>
      </c>
      <c r="FF746" s="1466"/>
      <c r="FG746" s="1466"/>
      <c r="FH746" s="1466"/>
      <c r="FI746" s="1465"/>
      <c r="FJ746" s="1464" t="str">
        <f t="shared" si="33"/>
        <v/>
      </c>
      <c r="FK746" s="1466"/>
      <c r="FL746" s="1466"/>
      <c r="FM746" s="1466"/>
      <c r="FN746" s="1465"/>
      <c r="FO746" s="1464" t="str">
        <f t="shared" si="34"/>
        <v/>
      </c>
      <c r="FP746" s="1466"/>
      <c r="FQ746" s="1466"/>
      <c r="FR746" s="1466"/>
      <c r="FS746" s="1465"/>
      <c r="FT746" s="1464" t="str">
        <f t="shared" si="35"/>
        <v/>
      </c>
      <c r="FU746" s="1466"/>
      <c r="FV746" s="1466"/>
      <c r="FW746" s="1466"/>
      <c r="FX746" s="1465"/>
      <c r="FY746" s="1464" t="str">
        <f t="shared" si="36"/>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40"/>
        <v>0</v>
      </c>
      <c r="Y747" s="1354"/>
      <c r="Z747" s="1354"/>
      <c r="AA747" s="1354"/>
      <c r="AB747" s="1355"/>
      <c r="AC747" s="1360"/>
      <c r="AD747" s="1361"/>
      <c r="AE747" s="1361"/>
      <c r="AF747" s="1361"/>
      <c r="AG747" s="1362"/>
      <c r="AH747" s="1356" t="str">
        <f t="shared" si="37"/>
        <v/>
      </c>
      <c r="AI747" s="1357"/>
      <c r="AJ747" s="1358"/>
      <c r="AK747" s="1337" t="s">
        <v>591</v>
      </c>
      <c r="AL747" s="1338"/>
      <c r="AM747" s="1338"/>
      <c r="AN747" s="1338"/>
      <c r="AO747" s="1339"/>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4">
        <f t="shared" si="38"/>
        <v>0</v>
      </c>
      <c r="CH747" s="1465"/>
      <c r="CI747" s="1470">
        <f t="shared" si="39"/>
        <v>0</v>
      </c>
      <c r="CJ747" s="1471"/>
      <c r="CK747" s="1464">
        <f t="shared" si="17"/>
        <v>0</v>
      </c>
      <c r="CL747" s="1465"/>
      <c r="CM747" s="1470">
        <f t="shared" si="18"/>
        <v>0</v>
      </c>
      <c r="CN747" s="1471"/>
      <c r="CO747" s="3"/>
      <c r="CP747" s="1459">
        <f t="shared" si="19"/>
        <v>0</v>
      </c>
      <c r="CQ747" s="1460"/>
      <c r="CR747" s="1460"/>
      <c r="CS747" s="1460"/>
      <c r="CT747" s="1461"/>
      <c r="CU747" s="1444">
        <f t="shared" si="20"/>
        <v>0</v>
      </c>
      <c r="CV747" s="1444"/>
      <c r="CW747" s="1444"/>
      <c r="CX747" s="1444"/>
      <c r="CY747" s="1444"/>
      <c r="CZ747" s="1444">
        <f t="shared" si="21"/>
        <v>0</v>
      </c>
      <c r="DA747" s="1444"/>
      <c r="DB747" s="1444"/>
      <c r="DC747" s="1444"/>
      <c r="DD747" s="1444"/>
      <c r="DE747" s="1444">
        <f t="shared" si="22"/>
        <v>0</v>
      </c>
      <c r="DF747" s="1444"/>
      <c r="DG747" s="1444"/>
      <c r="DH747" s="1444"/>
      <c r="DI747" s="1444"/>
      <c r="DJ747" s="1444">
        <f t="shared" si="23"/>
        <v>0</v>
      </c>
      <c r="DK747" s="1444"/>
      <c r="DL747" s="1444"/>
      <c r="DM747" s="1444"/>
      <c r="DN747" s="1444"/>
      <c r="DO747" s="1444">
        <f t="shared" si="24"/>
        <v>0</v>
      </c>
      <c r="DP747" s="1444"/>
      <c r="DQ747" s="1444"/>
      <c r="DR747" s="1444"/>
      <c r="DS747" s="1444"/>
      <c r="DT747" s="6"/>
      <c r="DU747" s="1445">
        <f t="shared" si="25"/>
        <v>0</v>
      </c>
      <c r="DV747" s="1445"/>
      <c r="DW747" s="1445"/>
      <c r="DX747" s="1445"/>
      <c r="DY747" s="1445"/>
      <c r="DZ747" s="1445">
        <f t="shared" si="26"/>
        <v>0</v>
      </c>
      <c r="EA747" s="1445"/>
      <c r="EB747" s="1445"/>
      <c r="EC747" s="1445"/>
      <c r="ED747" s="1445"/>
      <c r="EE747" s="1445">
        <f t="shared" si="27"/>
        <v>0</v>
      </c>
      <c r="EF747" s="1445"/>
      <c r="EG747" s="1445"/>
      <c r="EH747" s="1445"/>
      <c r="EI747" s="1445"/>
      <c r="EJ747" s="1445">
        <f t="shared" si="28"/>
        <v>0</v>
      </c>
      <c r="EK747" s="1445"/>
      <c r="EL747" s="1445"/>
      <c r="EM747" s="1445"/>
      <c r="EN747" s="1445"/>
      <c r="EO747" s="1445">
        <f t="shared" si="29"/>
        <v>0</v>
      </c>
      <c r="EP747" s="1445"/>
      <c r="EQ747" s="1445"/>
      <c r="ER747" s="1445"/>
      <c r="ES747" s="1445"/>
      <c r="ET747" s="1445">
        <f t="shared" si="30"/>
        <v>0</v>
      </c>
      <c r="EU747" s="1445"/>
      <c r="EV747" s="1445"/>
      <c r="EW747" s="1445"/>
      <c r="EX747" s="1445"/>
      <c r="EZ747" s="1464" t="str">
        <f t="shared" si="31"/>
        <v/>
      </c>
      <c r="FA747" s="1466"/>
      <c r="FB747" s="1466"/>
      <c r="FC747" s="1466"/>
      <c r="FD747" s="1465"/>
      <c r="FE747" s="1464" t="str">
        <f t="shared" si="32"/>
        <v/>
      </c>
      <c r="FF747" s="1466"/>
      <c r="FG747" s="1466"/>
      <c r="FH747" s="1466"/>
      <c r="FI747" s="1465"/>
      <c r="FJ747" s="1464" t="str">
        <f t="shared" si="33"/>
        <v/>
      </c>
      <c r="FK747" s="1466"/>
      <c r="FL747" s="1466"/>
      <c r="FM747" s="1466"/>
      <c r="FN747" s="1465"/>
      <c r="FO747" s="1464" t="str">
        <f t="shared" si="34"/>
        <v/>
      </c>
      <c r="FP747" s="1466"/>
      <c r="FQ747" s="1466"/>
      <c r="FR747" s="1466"/>
      <c r="FS747" s="1465"/>
      <c r="FT747" s="1464" t="str">
        <f t="shared" si="35"/>
        <v/>
      </c>
      <c r="FU747" s="1466"/>
      <c r="FV747" s="1466"/>
      <c r="FW747" s="1466"/>
      <c r="FX747" s="1465"/>
      <c r="FY747" s="1464" t="str">
        <f t="shared" si="36"/>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40"/>
        <v>0</v>
      </c>
      <c r="Y748" s="1354"/>
      <c r="Z748" s="1354"/>
      <c r="AA748" s="1354"/>
      <c r="AB748" s="1355"/>
      <c r="AC748" s="1360"/>
      <c r="AD748" s="1361"/>
      <c r="AE748" s="1361"/>
      <c r="AF748" s="1361"/>
      <c r="AG748" s="1362"/>
      <c r="AH748" s="1356" t="str">
        <f t="shared" si="37"/>
        <v/>
      </c>
      <c r="AI748" s="1357"/>
      <c r="AJ748" s="1358"/>
      <c r="AK748" s="1337" t="s">
        <v>591</v>
      </c>
      <c r="AL748" s="1338"/>
      <c r="AM748" s="1338"/>
      <c r="AN748" s="1338"/>
      <c r="AO748" s="1339"/>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4">
        <f t="shared" si="38"/>
        <v>0</v>
      </c>
      <c r="CH748" s="1465"/>
      <c r="CI748" s="1470">
        <f t="shared" si="39"/>
        <v>0</v>
      </c>
      <c r="CJ748" s="1471"/>
      <c r="CK748" s="1464">
        <f t="shared" si="17"/>
        <v>0</v>
      </c>
      <c r="CL748" s="1465"/>
      <c r="CM748" s="1470">
        <f t="shared" si="18"/>
        <v>0</v>
      </c>
      <c r="CN748" s="1471"/>
      <c r="CP748" s="1459">
        <f t="shared" si="19"/>
        <v>0</v>
      </c>
      <c r="CQ748" s="1460"/>
      <c r="CR748" s="1460"/>
      <c r="CS748" s="1460"/>
      <c r="CT748" s="1461"/>
      <c r="CU748" s="1444">
        <f t="shared" si="20"/>
        <v>0</v>
      </c>
      <c r="CV748" s="1444"/>
      <c r="CW748" s="1444"/>
      <c r="CX748" s="1444"/>
      <c r="CY748" s="1444"/>
      <c r="CZ748" s="1444">
        <f t="shared" si="21"/>
        <v>0</v>
      </c>
      <c r="DA748" s="1444"/>
      <c r="DB748" s="1444"/>
      <c r="DC748" s="1444"/>
      <c r="DD748" s="1444"/>
      <c r="DE748" s="1444">
        <f t="shared" si="22"/>
        <v>0</v>
      </c>
      <c r="DF748" s="1444"/>
      <c r="DG748" s="1444"/>
      <c r="DH748" s="1444"/>
      <c r="DI748" s="1444"/>
      <c r="DJ748" s="1444">
        <f t="shared" si="23"/>
        <v>0</v>
      </c>
      <c r="DK748" s="1444"/>
      <c r="DL748" s="1444"/>
      <c r="DM748" s="1444"/>
      <c r="DN748" s="1444"/>
      <c r="DO748" s="1444">
        <f t="shared" si="24"/>
        <v>0</v>
      </c>
      <c r="DP748" s="1444"/>
      <c r="DQ748" s="1444"/>
      <c r="DR748" s="1444"/>
      <c r="DS748" s="1444"/>
      <c r="DT748" s="6"/>
      <c r="DU748" s="1445">
        <f t="shared" si="25"/>
        <v>0</v>
      </c>
      <c r="DV748" s="1445"/>
      <c r="DW748" s="1445"/>
      <c r="DX748" s="1445"/>
      <c r="DY748" s="1445"/>
      <c r="DZ748" s="1445">
        <f t="shared" si="26"/>
        <v>0</v>
      </c>
      <c r="EA748" s="1445"/>
      <c r="EB748" s="1445"/>
      <c r="EC748" s="1445"/>
      <c r="ED748" s="1445"/>
      <c r="EE748" s="1445">
        <f t="shared" si="27"/>
        <v>0</v>
      </c>
      <c r="EF748" s="1445"/>
      <c r="EG748" s="1445"/>
      <c r="EH748" s="1445"/>
      <c r="EI748" s="1445"/>
      <c r="EJ748" s="1445">
        <f t="shared" si="28"/>
        <v>0</v>
      </c>
      <c r="EK748" s="1445"/>
      <c r="EL748" s="1445"/>
      <c r="EM748" s="1445"/>
      <c r="EN748" s="1445"/>
      <c r="EO748" s="1445">
        <f t="shared" si="29"/>
        <v>0</v>
      </c>
      <c r="EP748" s="1445"/>
      <c r="EQ748" s="1445"/>
      <c r="ER748" s="1445"/>
      <c r="ES748" s="1445"/>
      <c r="ET748" s="1445">
        <f t="shared" si="30"/>
        <v>0</v>
      </c>
      <c r="EU748" s="1445"/>
      <c r="EV748" s="1445"/>
      <c r="EW748" s="1445"/>
      <c r="EX748" s="1445"/>
      <c r="EY748"/>
      <c r="EZ748" s="1464" t="str">
        <f t="shared" si="31"/>
        <v/>
      </c>
      <c r="FA748" s="1466"/>
      <c r="FB748" s="1466"/>
      <c r="FC748" s="1466"/>
      <c r="FD748" s="1465"/>
      <c r="FE748" s="1464" t="str">
        <f t="shared" si="32"/>
        <v/>
      </c>
      <c r="FF748" s="1466"/>
      <c r="FG748" s="1466"/>
      <c r="FH748" s="1466"/>
      <c r="FI748" s="1465"/>
      <c r="FJ748" s="1464" t="str">
        <f t="shared" si="33"/>
        <v/>
      </c>
      <c r="FK748" s="1466"/>
      <c r="FL748" s="1466"/>
      <c r="FM748" s="1466"/>
      <c r="FN748" s="1465"/>
      <c r="FO748" s="1464" t="str">
        <f t="shared" si="34"/>
        <v/>
      </c>
      <c r="FP748" s="1466"/>
      <c r="FQ748" s="1466"/>
      <c r="FR748" s="1466"/>
      <c r="FS748" s="1465"/>
      <c r="FT748" s="1464" t="str">
        <f t="shared" si="35"/>
        <v/>
      </c>
      <c r="FU748" s="1466"/>
      <c r="FV748" s="1466"/>
      <c r="FW748" s="1466"/>
      <c r="FX748" s="1465"/>
      <c r="FY748" s="1464" t="str">
        <f t="shared" si="36"/>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40"/>
        <v>0</v>
      </c>
      <c r="Y749" s="1354"/>
      <c r="Z749" s="1354"/>
      <c r="AA749" s="1354"/>
      <c r="AB749" s="1355"/>
      <c r="AC749" s="1360"/>
      <c r="AD749" s="1361"/>
      <c r="AE749" s="1361"/>
      <c r="AF749" s="1361"/>
      <c r="AG749" s="1362"/>
      <c r="AH749" s="1356" t="str">
        <f t="shared" si="37"/>
        <v/>
      </c>
      <c r="AI749" s="1357"/>
      <c r="AJ749" s="1358"/>
      <c r="AK749" s="1337" t="s">
        <v>591</v>
      </c>
      <c r="AL749" s="1338"/>
      <c r="AM749" s="1338"/>
      <c r="AN749" s="1338"/>
      <c r="AO749" s="1339"/>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4">
        <f t="shared" si="38"/>
        <v>0</v>
      </c>
      <c r="CH749" s="1465"/>
      <c r="CI749" s="1470">
        <f t="shared" si="39"/>
        <v>0</v>
      </c>
      <c r="CJ749" s="1471"/>
      <c r="CK749" s="1464">
        <f t="shared" si="17"/>
        <v>0</v>
      </c>
      <c r="CL749" s="1465"/>
      <c r="CM749" s="1470">
        <f t="shared" si="18"/>
        <v>0</v>
      </c>
      <c r="CN749" s="1471"/>
      <c r="CP749" s="1459">
        <f t="shared" si="19"/>
        <v>0</v>
      </c>
      <c r="CQ749" s="1460"/>
      <c r="CR749" s="1460"/>
      <c r="CS749" s="1460"/>
      <c r="CT749" s="1461"/>
      <c r="CU749" s="1444">
        <f t="shared" si="20"/>
        <v>0</v>
      </c>
      <c r="CV749" s="1444"/>
      <c r="CW749" s="1444"/>
      <c r="CX749" s="1444"/>
      <c r="CY749" s="1444"/>
      <c r="CZ749" s="1444">
        <f t="shared" si="21"/>
        <v>0</v>
      </c>
      <c r="DA749" s="1444"/>
      <c r="DB749" s="1444"/>
      <c r="DC749" s="1444"/>
      <c r="DD749" s="1444"/>
      <c r="DE749" s="1444">
        <f t="shared" si="22"/>
        <v>0</v>
      </c>
      <c r="DF749" s="1444"/>
      <c r="DG749" s="1444"/>
      <c r="DH749" s="1444"/>
      <c r="DI749" s="1444"/>
      <c r="DJ749" s="1444">
        <f t="shared" si="23"/>
        <v>0</v>
      </c>
      <c r="DK749" s="1444"/>
      <c r="DL749" s="1444"/>
      <c r="DM749" s="1444"/>
      <c r="DN749" s="1444"/>
      <c r="DO749" s="1444">
        <f t="shared" si="24"/>
        <v>0</v>
      </c>
      <c r="DP749" s="1444"/>
      <c r="DQ749" s="1444"/>
      <c r="DR749" s="1444"/>
      <c r="DS749" s="1444"/>
      <c r="DT749" s="6"/>
      <c r="DU749" s="1445">
        <f t="shared" si="25"/>
        <v>0</v>
      </c>
      <c r="DV749" s="1445"/>
      <c r="DW749" s="1445"/>
      <c r="DX749" s="1445"/>
      <c r="DY749" s="1445"/>
      <c r="DZ749" s="1445">
        <f t="shared" si="26"/>
        <v>0</v>
      </c>
      <c r="EA749" s="1445"/>
      <c r="EB749" s="1445"/>
      <c r="EC749" s="1445"/>
      <c r="ED749" s="1445"/>
      <c r="EE749" s="1445">
        <f t="shared" si="27"/>
        <v>0</v>
      </c>
      <c r="EF749" s="1445"/>
      <c r="EG749" s="1445"/>
      <c r="EH749" s="1445"/>
      <c r="EI749" s="1445"/>
      <c r="EJ749" s="1445">
        <f t="shared" si="28"/>
        <v>0</v>
      </c>
      <c r="EK749" s="1445"/>
      <c r="EL749" s="1445"/>
      <c r="EM749" s="1445"/>
      <c r="EN749" s="1445"/>
      <c r="EO749" s="1445">
        <f t="shared" si="29"/>
        <v>0</v>
      </c>
      <c r="EP749" s="1445"/>
      <c r="EQ749" s="1445"/>
      <c r="ER749" s="1445"/>
      <c r="ES749" s="1445"/>
      <c r="ET749" s="1445">
        <f t="shared" si="30"/>
        <v>0</v>
      </c>
      <c r="EU749" s="1445"/>
      <c r="EV749" s="1445"/>
      <c r="EW749" s="1445"/>
      <c r="EX749" s="1445"/>
      <c r="EY749"/>
      <c r="EZ749" s="1464" t="str">
        <f t="shared" si="31"/>
        <v/>
      </c>
      <c r="FA749" s="1466"/>
      <c r="FB749" s="1466"/>
      <c r="FC749" s="1466"/>
      <c r="FD749" s="1465"/>
      <c r="FE749" s="1464" t="str">
        <f t="shared" si="32"/>
        <v/>
      </c>
      <c r="FF749" s="1466"/>
      <c r="FG749" s="1466"/>
      <c r="FH749" s="1466"/>
      <c r="FI749" s="1465"/>
      <c r="FJ749" s="1464" t="str">
        <f t="shared" si="33"/>
        <v/>
      </c>
      <c r="FK749" s="1466"/>
      <c r="FL749" s="1466"/>
      <c r="FM749" s="1466"/>
      <c r="FN749" s="1465"/>
      <c r="FO749" s="1464" t="str">
        <f t="shared" si="34"/>
        <v/>
      </c>
      <c r="FP749" s="1466"/>
      <c r="FQ749" s="1466"/>
      <c r="FR749" s="1466"/>
      <c r="FS749" s="1465"/>
      <c r="FT749" s="1464" t="str">
        <f t="shared" si="35"/>
        <v/>
      </c>
      <c r="FU749" s="1466"/>
      <c r="FV749" s="1466"/>
      <c r="FW749" s="1466"/>
      <c r="FX749" s="1465"/>
      <c r="FY749" s="1464" t="str">
        <f t="shared" si="36"/>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40"/>
        <v>0</v>
      </c>
      <c r="Y750" s="1354"/>
      <c r="Z750" s="1354"/>
      <c r="AA750" s="1354"/>
      <c r="AB750" s="1355"/>
      <c r="AC750" s="1360"/>
      <c r="AD750" s="1361"/>
      <c r="AE750" s="1361"/>
      <c r="AF750" s="1361"/>
      <c r="AG750" s="1362"/>
      <c r="AH750" s="1356" t="str">
        <f t="shared" si="37"/>
        <v/>
      </c>
      <c r="AI750" s="1357"/>
      <c r="AJ750" s="1358"/>
      <c r="AK750" s="1337" t="s">
        <v>591</v>
      </c>
      <c r="AL750" s="1338"/>
      <c r="AM750" s="1338"/>
      <c r="AN750" s="1338"/>
      <c r="AO750" s="1339"/>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4">
        <f t="shared" si="38"/>
        <v>0</v>
      </c>
      <c r="CH750" s="1465"/>
      <c r="CI750" s="1470">
        <f t="shared" si="39"/>
        <v>0</v>
      </c>
      <c r="CJ750" s="1471"/>
      <c r="CK750" s="1464">
        <f t="shared" si="17"/>
        <v>0</v>
      </c>
      <c r="CL750" s="1465"/>
      <c r="CM750" s="1470">
        <f t="shared" si="18"/>
        <v>0</v>
      </c>
      <c r="CN750" s="1471"/>
      <c r="CP750" s="1459">
        <f t="shared" si="19"/>
        <v>0</v>
      </c>
      <c r="CQ750" s="1460"/>
      <c r="CR750" s="1460"/>
      <c r="CS750" s="1460"/>
      <c r="CT750" s="1461"/>
      <c r="CU750" s="1444">
        <f t="shared" si="20"/>
        <v>0</v>
      </c>
      <c r="CV750" s="1444"/>
      <c r="CW750" s="1444"/>
      <c r="CX750" s="1444"/>
      <c r="CY750" s="1444"/>
      <c r="CZ750" s="1444">
        <f t="shared" si="21"/>
        <v>0</v>
      </c>
      <c r="DA750" s="1444"/>
      <c r="DB750" s="1444"/>
      <c r="DC750" s="1444"/>
      <c r="DD750" s="1444"/>
      <c r="DE750" s="1444">
        <f t="shared" si="22"/>
        <v>0</v>
      </c>
      <c r="DF750" s="1444"/>
      <c r="DG750" s="1444"/>
      <c r="DH750" s="1444"/>
      <c r="DI750" s="1444"/>
      <c r="DJ750" s="1444">
        <f t="shared" si="23"/>
        <v>0</v>
      </c>
      <c r="DK750" s="1444"/>
      <c r="DL750" s="1444"/>
      <c r="DM750" s="1444"/>
      <c r="DN750" s="1444"/>
      <c r="DO750" s="1444">
        <f t="shared" si="24"/>
        <v>0</v>
      </c>
      <c r="DP750" s="1444"/>
      <c r="DQ750" s="1444"/>
      <c r="DR750" s="1444"/>
      <c r="DS750" s="1444"/>
      <c r="DT750" s="6"/>
      <c r="DU750" s="1445">
        <f t="shared" si="25"/>
        <v>0</v>
      </c>
      <c r="DV750" s="1445"/>
      <c r="DW750" s="1445"/>
      <c r="DX750" s="1445"/>
      <c r="DY750" s="1445"/>
      <c r="DZ750" s="1445">
        <f t="shared" si="26"/>
        <v>0</v>
      </c>
      <c r="EA750" s="1445"/>
      <c r="EB750" s="1445"/>
      <c r="EC750" s="1445"/>
      <c r="ED750" s="1445"/>
      <c r="EE750" s="1445">
        <f t="shared" si="27"/>
        <v>0</v>
      </c>
      <c r="EF750" s="1445"/>
      <c r="EG750" s="1445"/>
      <c r="EH750" s="1445"/>
      <c r="EI750" s="1445"/>
      <c r="EJ750" s="1445">
        <f t="shared" si="28"/>
        <v>0</v>
      </c>
      <c r="EK750" s="1445"/>
      <c r="EL750" s="1445"/>
      <c r="EM750" s="1445"/>
      <c r="EN750" s="1445"/>
      <c r="EO750" s="1445">
        <f t="shared" si="29"/>
        <v>0</v>
      </c>
      <c r="EP750" s="1445"/>
      <c r="EQ750" s="1445"/>
      <c r="ER750" s="1445"/>
      <c r="ES750" s="1445"/>
      <c r="ET750" s="1445">
        <f t="shared" si="30"/>
        <v>0</v>
      </c>
      <c r="EU750" s="1445"/>
      <c r="EV750" s="1445"/>
      <c r="EW750" s="1445"/>
      <c r="EX750" s="1445"/>
      <c r="EY750"/>
      <c r="EZ750" s="1464" t="str">
        <f t="shared" si="31"/>
        <v/>
      </c>
      <c r="FA750" s="1466"/>
      <c r="FB750" s="1466"/>
      <c r="FC750" s="1466"/>
      <c r="FD750" s="1465"/>
      <c r="FE750" s="1464" t="str">
        <f t="shared" si="32"/>
        <v/>
      </c>
      <c r="FF750" s="1466"/>
      <c r="FG750" s="1466"/>
      <c r="FH750" s="1466"/>
      <c r="FI750" s="1465"/>
      <c r="FJ750" s="1464" t="str">
        <f t="shared" si="33"/>
        <v/>
      </c>
      <c r="FK750" s="1466"/>
      <c r="FL750" s="1466"/>
      <c r="FM750" s="1466"/>
      <c r="FN750" s="1465"/>
      <c r="FO750" s="1464" t="str">
        <f t="shared" si="34"/>
        <v/>
      </c>
      <c r="FP750" s="1466"/>
      <c r="FQ750" s="1466"/>
      <c r="FR750" s="1466"/>
      <c r="FS750" s="1465"/>
      <c r="FT750" s="1464" t="str">
        <f t="shared" si="35"/>
        <v/>
      </c>
      <c r="FU750" s="1466"/>
      <c r="FV750" s="1466"/>
      <c r="FW750" s="1466"/>
      <c r="FX750" s="1465"/>
      <c r="FY750" s="1464" t="str">
        <f t="shared" si="36"/>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40"/>
        <v>0</v>
      </c>
      <c r="Y751" s="1354"/>
      <c r="Z751" s="1354"/>
      <c r="AA751" s="1354"/>
      <c r="AB751" s="1355"/>
      <c r="AC751" s="1360"/>
      <c r="AD751" s="1361"/>
      <c r="AE751" s="1361"/>
      <c r="AF751" s="1361"/>
      <c r="AG751" s="1362"/>
      <c r="AH751" s="1356" t="str">
        <f t="shared" si="37"/>
        <v/>
      </c>
      <c r="AI751" s="1357"/>
      <c r="AJ751" s="1358"/>
      <c r="AK751" s="1337" t="s">
        <v>591</v>
      </c>
      <c r="AL751" s="1338"/>
      <c r="AM751" s="1338"/>
      <c r="AN751" s="1338"/>
      <c r="AO751" s="1339"/>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4">
        <f t="shared" si="38"/>
        <v>0</v>
      </c>
      <c r="CH751" s="1465"/>
      <c r="CI751" s="1470">
        <f t="shared" si="39"/>
        <v>0</v>
      </c>
      <c r="CJ751" s="1471"/>
      <c r="CK751" s="1464">
        <f t="shared" si="17"/>
        <v>0</v>
      </c>
      <c r="CL751" s="1465"/>
      <c r="CM751" s="1470">
        <f t="shared" si="18"/>
        <v>0</v>
      </c>
      <c r="CN751" s="1471"/>
      <c r="CP751" s="1459">
        <f t="shared" si="19"/>
        <v>0</v>
      </c>
      <c r="CQ751" s="1460"/>
      <c r="CR751" s="1460"/>
      <c r="CS751" s="1460"/>
      <c r="CT751" s="1461"/>
      <c r="CU751" s="1444">
        <f t="shared" si="20"/>
        <v>0</v>
      </c>
      <c r="CV751" s="1444"/>
      <c r="CW751" s="1444"/>
      <c r="CX751" s="1444"/>
      <c r="CY751" s="1444"/>
      <c r="CZ751" s="1444">
        <f t="shared" si="21"/>
        <v>0</v>
      </c>
      <c r="DA751" s="1444"/>
      <c r="DB751" s="1444"/>
      <c r="DC751" s="1444"/>
      <c r="DD751" s="1444"/>
      <c r="DE751" s="1444">
        <f t="shared" si="22"/>
        <v>0</v>
      </c>
      <c r="DF751" s="1444"/>
      <c r="DG751" s="1444"/>
      <c r="DH751" s="1444"/>
      <c r="DI751" s="1444"/>
      <c r="DJ751" s="1444">
        <f t="shared" si="23"/>
        <v>0</v>
      </c>
      <c r="DK751" s="1444"/>
      <c r="DL751" s="1444"/>
      <c r="DM751" s="1444"/>
      <c r="DN751" s="1444"/>
      <c r="DO751" s="1444">
        <f t="shared" si="24"/>
        <v>0</v>
      </c>
      <c r="DP751" s="1444"/>
      <c r="DQ751" s="1444"/>
      <c r="DR751" s="1444"/>
      <c r="DS751" s="1444"/>
      <c r="DT751" s="6"/>
      <c r="DU751" s="1445">
        <f t="shared" si="25"/>
        <v>0</v>
      </c>
      <c r="DV751" s="1445"/>
      <c r="DW751" s="1445"/>
      <c r="DX751" s="1445"/>
      <c r="DY751" s="1445"/>
      <c r="DZ751" s="1445">
        <f t="shared" si="26"/>
        <v>0</v>
      </c>
      <c r="EA751" s="1445"/>
      <c r="EB751" s="1445"/>
      <c r="EC751" s="1445"/>
      <c r="ED751" s="1445"/>
      <c r="EE751" s="1445">
        <f t="shared" si="27"/>
        <v>0</v>
      </c>
      <c r="EF751" s="1445"/>
      <c r="EG751" s="1445"/>
      <c r="EH751" s="1445"/>
      <c r="EI751" s="1445"/>
      <c r="EJ751" s="1445">
        <f t="shared" si="28"/>
        <v>0</v>
      </c>
      <c r="EK751" s="1445"/>
      <c r="EL751" s="1445"/>
      <c r="EM751" s="1445"/>
      <c r="EN751" s="1445"/>
      <c r="EO751" s="1445">
        <f t="shared" si="29"/>
        <v>0</v>
      </c>
      <c r="EP751" s="1445"/>
      <c r="EQ751" s="1445"/>
      <c r="ER751" s="1445"/>
      <c r="ES751" s="1445"/>
      <c r="ET751" s="1445">
        <f t="shared" si="30"/>
        <v>0</v>
      </c>
      <c r="EU751" s="1445"/>
      <c r="EV751" s="1445"/>
      <c r="EW751" s="1445"/>
      <c r="EX751" s="1445"/>
      <c r="EY751"/>
      <c r="EZ751" s="1464" t="str">
        <f t="shared" si="31"/>
        <v/>
      </c>
      <c r="FA751" s="1466"/>
      <c r="FB751" s="1466"/>
      <c r="FC751" s="1466"/>
      <c r="FD751" s="1465"/>
      <c r="FE751" s="1464" t="str">
        <f t="shared" si="32"/>
        <v/>
      </c>
      <c r="FF751" s="1466"/>
      <c r="FG751" s="1466"/>
      <c r="FH751" s="1466"/>
      <c r="FI751" s="1465"/>
      <c r="FJ751" s="1464" t="str">
        <f t="shared" si="33"/>
        <v/>
      </c>
      <c r="FK751" s="1466"/>
      <c r="FL751" s="1466"/>
      <c r="FM751" s="1466"/>
      <c r="FN751" s="1465"/>
      <c r="FO751" s="1464" t="str">
        <f t="shared" si="34"/>
        <v/>
      </c>
      <c r="FP751" s="1466"/>
      <c r="FQ751" s="1466"/>
      <c r="FR751" s="1466"/>
      <c r="FS751" s="1465"/>
      <c r="FT751" s="1464" t="str">
        <f t="shared" si="35"/>
        <v/>
      </c>
      <c r="FU751" s="1466"/>
      <c r="FV751" s="1466"/>
      <c r="FW751" s="1466"/>
      <c r="FX751" s="1465"/>
      <c r="FY751" s="1464" t="str">
        <f t="shared" si="36"/>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7"/>
        <v/>
      </c>
      <c r="AI752" s="1357"/>
      <c r="AJ752" s="1358"/>
      <c r="AK752" s="1337" t="s">
        <v>591</v>
      </c>
      <c r="AL752" s="1338"/>
      <c r="AM752" s="1338"/>
      <c r="AN752" s="1338"/>
      <c r="AO752" s="1339"/>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4">
        <f t="shared" si="38"/>
        <v>0</v>
      </c>
      <c r="CH752" s="1465"/>
      <c r="CI752" s="1470">
        <f t="shared" si="39"/>
        <v>0</v>
      </c>
      <c r="CJ752" s="1471"/>
      <c r="CK752" s="1464">
        <f t="shared" si="17"/>
        <v>0</v>
      </c>
      <c r="CL752" s="1465"/>
      <c r="CM752" s="1470">
        <f t="shared" si="18"/>
        <v>0</v>
      </c>
      <c r="CN752" s="1471"/>
      <c r="CP752" s="1459">
        <f t="shared" si="19"/>
        <v>0</v>
      </c>
      <c r="CQ752" s="1460"/>
      <c r="CR752" s="1460"/>
      <c r="CS752" s="1460"/>
      <c r="CT752" s="1461"/>
      <c r="CU752" s="1444">
        <f t="shared" si="20"/>
        <v>0</v>
      </c>
      <c r="CV752" s="1444"/>
      <c r="CW752" s="1444"/>
      <c r="CX752" s="1444"/>
      <c r="CY752" s="1444"/>
      <c r="CZ752" s="1444">
        <f t="shared" si="21"/>
        <v>0</v>
      </c>
      <c r="DA752" s="1444"/>
      <c r="DB752" s="1444"/>
      <c r="DC752" s="1444"/>
      <c r="DD752" s="1444"/>
      <c r="DE752" s="1444">
        <f t="shared" si="22"/>
        <v>0</v>
      </c>
      <c r="DF752" s="1444"/>
      <c r="DG752" s="1444"/>
      <c r="DH752" s="1444"/>
      <c r="DI752" s="1444"/>
      <c r="DJ752" s="1444">
        <f t="shared" si="23"/>
        <v>0</v>
      </c>
      <c r="DK752" s="1444"/>
      <c r="DL752" s="1444"/>
      <c r="DM752" s="1444"/>
      <c r="DN752" s="1444"/>
      <c r="DO752" s="1444">
        <f t="shared" si="24"/>
        <v>0</v>
      </c>
      <c r="DP752" s="1444"/>
      <c r="DQ752" s="1444"/>
      <c r="DR752" s="1444"/>
      <c r="DS752" s="1444"/>
      <c r="DT752" s="6"/>
      <c r="DU752" s="1445">
        <f t="shared" si="25"/>
        <v>0</v>
      </c>
      <c r="DV752" s="1445"/>
      <c r="DW752" s="1445"/>
      <c r="DX752" s="1445"/>
      <c r="DY752" s="1445"/>
      <c r="DZ752" s="1445">
        <f t="shared" si="26"/>
        <v>0</v>
      </c>
      <c r="EA752" s="1445"/>
      <c r="EB752" s="1445"/>
      <c r="EC752" s="1445"/>
      <c r="ED752" s="1445"/>
      <c r="EE752" s="1445">
        <f t="shared" si="27"/>
        <v>0</v>
      </c>
      <c r="EF752" s="1445"/>
      <c r="EG752" s="1445"/>
      <c r="EH752" s="1445"/>
      <c r="EI752" s="1445"/>
      <c r="EJ752" s="1445">
        <f t="shared" si="28"/>
        <v>0</v>
      </c>
      <c r="EK752" s="1445"/>
      <c r="EL752" s="1445"/>
      <c r="EM752" s="1445"/>
      <c r="EN752" s="1445"/>
      <c r="EO752" s="1445">
        <f t="shared" si="29"/>
        <v>0</v>
      </c>
      <c r="EP752" s="1445"/>
      <c r="EQ752" s="1445"/>
      <c r="ER752" s="1445"/>
      <c r="ES752" s="1445"/>
      <c r="ET752" s="1445">
        <f t="shared" si="30"/>
        <v>0</v>
      </c>
      <c r="EU752" s="1445"/>
      <c r="EV752" s="1445"/>
      <c r="EW752" s="1445"/>
      <c r="EX752" s="1445"/>
      <c r="EY752"/>
      <c r="EZ752" s="1464" t="str">
        <f t="shared" si="31"/>
        <v/>
      </c>
      <c r="FA752" s="1466"/>
      <c r="FB752" s="1466"/>
      <c r="FC752" s="1466"/>
      <c r="FD752" s="1465"/>
      <c r="FE752" s="1464" t="str">
        <f t="shared" si="32"/>
        <v/>
      </c>
      <c r="FF752" s="1466"/>
      <c r="FG752" s="1466"/>
      <c r="FH752" s="1466"/>
      <c r="FI752" s="1465"/>
      <c r="FJ752" s="1464" t="str">
        <f t="shared" si="33"/>
        <v/>
      </c>
      <c r="FK752" s="1466"/>
      <c r="FL752" s="1466"/>
      <c r="FM752" s="1466"/>
      <c r="FN752" s="1465"/>
      <c r="FO752" s="1464" t="str">
        <f t="shared" si="34"/>
        <v/>
      </c>
      <c r="FP752" s="1466"/>
      <c r="FQ752" s="1466"/>
      <c r="FR752" s="1466"/>
      <c r="FS752" s="1465"/>
      <c r="FT752" s="1464" t="str">
        <f t="shared" si="35"/>
        <v/>
      </c>
      <c r="FU752" s="1466"/>
      <c r="FV752" s="1466"/>
      <c r="FW752" s="1466"/>
      <c r="FX752" s="1465"/>
      <c r="FY752" s="1464" t="str">
        <f t="shared" si="36"/>
        <v/>
      </c>
      <c r="FZ752" s="1466"/>
      <c r="GA752" s="1466"/>
      <c r="GB752" s="1466"/>
      <c r="GC752" s="1465"/>
    </row>
    <row r="753" spans="1:185" s="3" customFormat="1" ht="12.95" customHeight="1">
      <c r="A753"/>
      <c r="B753" s="1450" t="s">
        <v>125</v>
      </c>
      <c r="C753" s="1451"/>
      <c r="D753" s="1451"/>
      <c r="E753" s="1451"/>
      <c r="F753" s="1452"/>
      <c r="G753" s="1621">
        <f>SUM(G718:G752)</f>
        <v>96</v>
      </c>
      <c r="H753" s="1622"/>
      <c r="I753" s="1622"/>
      <c r="J753" s="1623"/>
      <c r="K753" s="902" t="s">
        <v>124</v>
      </c>
      <c r="L753" s="5"/>
      <c r="M753" s="5"/>
      <c r="N753" s="46"/>
      <c r="O753" s="1353">
        <f>SUMPRODUCT(G718:G752,O718:O752)</f>
        <v>28800</v>
      </c>
      <c r="P753" s="1354"/>
      <c r="Q753" s="1354"/>
      <c r="R753" s="1354"/>
      <c r="S753" s="1355"/>
      <c r="T753"/>
      <c r="U753"/>
      <c r="V753"/>
      <c r="W753"/>
      <c r="X753" s="904" t="s">
        <v>900</v>
      </c>
      <c r="Y753" s="903"/>
      <c r="Z753" s="903"/>
      <c r="AA753" s="903"/>
      <c r="AB753" s="905"/>
      <c r="AC753" s="1604">
        <f>BH753</f>
        <v>0.3979166666666667</v>
      </c>
      <c r="AD753" s="1605"/>
      <c r="AE753" s="1605"/>
      <c r="AF753" s="1605"/>
      <c r="AG753" s="1606"/>
      <c r="AH753" s="1604">
        <f>IFERROR(BU753,"")</f>
        <v>0.13376251788268956</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96</v>
      </c>
      <c r="BG753" s="300">
        <f>SUM(BG718:BG752)</f>
        <v>1</v>
      </c>
      <c r="BH753" s="300">
        <f>SUM(BH718:BH752)</f>
        <v>0.3979166666666667</v>
      </c>
      <c r="BI753"/>
      <c r="BJ753"/>
      <c r="BK753"/>
      <c r="BL753"/>
      <c r="BO753"/>
      <c r="BP753"/>
      <c r="BQ753"/>
      <c r="BR753"/>
      <c r="BS753" s="859">
        <f>SUM(BS718:BS752)</f>
        <v>96</v>
      </c>
      <c r="BT753" s="300">
        <f>SUM(BT718:BT752)</f>
        <v>1</v>
      </c>
      <c r="BU753" s="300">
        <f>SUM(BU718:BU752)</f>
        <v>0.13376251788268956</v>
      </c>
      <c r="CI753" s="1464">
        <f>SUM(CI718:CJ752)</f>
        <v>47</v>
      </c>
      <c r="CJ753" s="1465"/>
      <c r="CM753" s="1464">
        <f>SUM(CM718:CN752)</f>
        <v>49</v>
      </c>
      <c r="CN753" s="1465"/>
      <c r="CP753" s="1464">
        <f>SUM(CP718:CT752)</f>
        <v>96</v>
      </c>
      <c r="CQ753" s="1466"/>
      <c r="CR753" s="1466"/>
      <c r="CS753" s="1466"/>
      <c r="CT753" s="1465"/>
      <c r="CU753" s="1462">
        <f>SUM(CU718:CY752)</f>
        <v>0</v>
      </c>
      <c r="CV753" s="1462"/>
      <c r="CW753" s="1462"/>
      <c r="CX753" s="1462"/>
      <c r="CY753" s="1462"/>
      <c r="CZ753" s="1462">
        <f>SUM(CZ718:DD752)</f>
        <v>0</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49</v>
      </c>
      <c r="DV753" s="1462"/>
      <c r="DW753" s="1462"/>
      <c r="DX753" s="1462"/>
      <c r="DY753" s="1462"/>
      <c r="DZ753" s="1462">
        <f>SUM(DZ718:ED752)</f>
        <v>0</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900</v>
      </c>
      <c r="FA753" s="1462"/>
      <c r="FB753" s="1462"/>
      <c r="FC753" s="1462"/>
      <c r="FD753" s="1462"/>
      <c r="FE753" s="1462">
        <f>SUM(FE718:FI752)</f>
        <v>0</v>
      </c>
      <c r="FF753" s="1462"/>
      <c r="FG753" s="1462"/>
      <c r="FH753" s="1462"/>
      <c r="FI753" s="1462"/>
      <c r="FJ753" s="1462">
        <f>SUM(FJ718:FN752)</f>
        <v>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4">
        <f>CP753+CU753+CZ753+DE753+DJ753+DO753</f>
        <v>96</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96</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96</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2">
        <f>DU755</f>
        <v>96</v>
      </c>
      <c r="P756" s="1462"/>
      <c r="Q756" s="1462"/>
      <c r="R756" s="1462"/>
      <c r="S756" s="969"/>
      <c r="T756" s="969"/>
      <c r="U756" s="118" t="s">
        <v>1893</v>
      </c>
      <c r="V756" s="1032"/>
      <c r="W756" s="1032"/>
      <c r="X756" s="1032"/>
      <c r="Y756" s="1033"/>
      <c r="Z756" s="1033"/>
      <c r="AA756" s="1033"/>
      <c r="AB756" s="1033"/>
      <c r="AC756" s="1032"/>
      <c r="AD756" s="1032"/>
      <c r="AE756" s="1032"/>
      <c r="AF756" s="1032"/>
      <c r="AG756" s="1627"/>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388</v>
      </c>
      <c r="K769" s="1364"/>
      <c r="L769" s="1364"/>
      <c r="M769" s="1364"/>
      <c r="N769" s="1365"/>
      <c r="O769" s="1619" t="s">
        <v>284</v>
      </c>
      <c r="P769" s="1619"/>
      <c r="Q769" s="1619"/>
      <c r="R769" s="1619"/>
      <c r="S769" s="1619"/>
      <c r="T769" s="1721" t="s">
        <v>1679</v>
      </c>
      <c r="U769" s="1722"/>
      <c r="V769" s="1722"/>
      <c r="W769" s="1723"/>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4"/>
      <c r="U770" s="1725"/>
      <c r="V770" s="1725"/>
      <c r="W770" s="1726"/>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4"/>
      <c r="U771" s="1725"/>
      <c r="V771" s="1725"/>
      <c r="W771" s="1726"/>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7"/>
      <c r="U772" s="1728"/>
      <c r="V772" s="1728"/>
      <c r="W772" s="1729"/>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1</v>
      </c>
      <c r="P773" s="1613"/>
      <c r="Q773" s="1613"/>
      <c r="R773" s="1613"/>
      <c r="S773" s="1613"/>
      <c r="T773" s="1343">
        <v>639</v>
      </c>
      <c r="U773" s="1344"/>
      <c r="V773" s="1344"/>
      <c r="W773" s="1345"/>
      <c r="X773" s="1340">
        <v>0</v>
      </c>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5" t="s">
        <v>669</v>
      </c>
      <c r="K779" s="166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388</v>
      </c>
      <c r="K783" s="1364"/>
      <c r="L783" s="1364"/>
      <c r="M783" s="1364"/>
      <c r="N783" s="1365"/>
      <c r="O783" s="1619" t="s">
        <v>284</v>
      </c>
      <c r="P783" s="1619"/>
      <c r="Q783" s="1619"/>
      <c r="R783" s="1619"/>
      <c r="S783" s="1619"/>
      <c r="T783" s="1721" t="s">
        <v>1679</v>
      </c>
      <c r="U783" s="1722"/>
      <c r="V783" s="1722"/>
      <c r="W783" s="1723"/>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4"/>
      <c r="U784" s="1725"/>
      <c r="V784" s="1725"/>
      <c r="W784" s="1726"/>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4"/>
      <c r="U785" s="1725"/>
      <c r="V785" s="1725"/>
      <c r="W785" s="1726"/>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7"/>
      <c r="U786" s="1728"/>
      <c r="V786" s="1728"/>
      <c r="W786" s="1729"/>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1">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2">IF(J787="SRO/Studio",O787,0)</f>
        <v>0</v>
      </c>
      <c r="CQ787" s="1460"/>
      <c r="CR787" s="1460"/>
      <c r="CS787" s="1460"/>
      <c r="CT787" s="1461"/>
      <c r="CU787" s="1459">
        <f t="shared" ref="CU787:CU796" si="43">IF(J787="1 Bedroom",O787,0)</f>
        <v>0</v>
      </c>
      <c r="CV787" s="1460"/>
      <c r="CW787" s="1460"/>
      <c r="CX787" s="1460"/>
      <c r="CY787" s="1461"/>
      <c r="CZ787" s="1459">
        <f t="shared" ref="CZ787:CZ796" si="44">IF(J787="2 Bedrooms",O787,0)</f>
        <v>0</v>
      </c>
      <c r="DA787" s="1460"/>
      <c r="DB787" s="1460"/>
      <c r="DC787" s="1460"/>
      <c r="DD787" s="1461"/>
      <c r="DE787" s="1459">
        <f t="shared" ref="DE787:DE796" si="45">IF(J787="3 Bedrooms",O787,0)</f>
        <v>0</v>
      </c>
      <c r="DF787" s="1460"/>
      <c r="DG787" s="1460"/>
      <c r="DH787" s="1460"/>
      <c r="DI787" s="1461"/>
      <c r="DJ787" s="1459">
        <f t="shared" ref="DJ787:DJ796" si="46">IF(J787="4 Bedrooms",O787,0)</f>
        <v>0</v>
      </c>
      <c r="DK787" s="1460"/>
      <c r="DL787" s="1460"/>
      <c r="DM787" s="1460"/>
      <c r="DN787" s="1461"/>
      <c r="DO787" s="1459">
        <f t="shared" ref="DO787:DO796" si="47">IF(J787="5 Bedrooms",O787,0)</f>
        <v>0</v>
      </c>
      <c r="DP787" s="1460"/>
      <c r="DQ787" s="1460"/>
      <c r="DR787" s="1460"/>
      <c r="DS787" s="1461"/>
      <c r="DT787" s="6"/>
      <c r="DU787" s="1459">
        <f t="shared" ref="DU787:DU796" si="48">IF(AND(CP787&gt;=1,AH787&gt;=0.1,AH787&lt;=1),O787,0)</f>
        <v>0</v>
      </c>
      <c r="DV787" s="1460"/>
      <c r="DW787" s="1460"/>
      <c r="DX787" s="1460"/>
      <c r="DY787" s="1461"/>
      <c r="DZ787" s="1459">
        <f t="shared" ref="DZ787:DZ796" si="49">IF(AND(CU787&gt;=1,AH787&gt;=0.1,AH787&lt;=1),O787,0)</f>
        <v>0</v>
      </c>
      <c r="EA787" s="1460"/>
      <c r="EB787" s="1460"/>
      <c r="EC787" s="1460"/>
      <c r="ED787" s="1461"/>
      <c r="EE787" s="1459">
        <f t="shared" ref="EE787:EE796" si="50">IF(AND(CZ787&gt;=1,AH787&gt;=0.1,AH787&lt;=1),O787,0)</f>
        <v>0</v>
      </c>
      <c r="EF787" s="1460"/>
      <c r="EG787" s="1460"/>
      <c r="EH787" s="1460"/>
      <c r="EI787" s="1461"/>
      <c r="EJ787" s="1459">
        <f t="shared" ref="EJ787:EJ796" si="51">IF(AND(DE787&gt;=1,AH787&gt;=0.1,AH787&lt;=1),O787,0)</f>
        <v>0</v>
      </c>
      <c r="EK787" s="1460"/>
      <c r="EL787" s="1460"/>
      <c r="EM787" s="1460"/>
      <c r="EN787" s="1461"/>
      <c r="EO787" s="1459">
        <f t="shared" ref="EO787:EO796" si="52">IF(AND(DJ787&gt;=1,AH787&gt;=0.1,AH787&lt;=1),O787,0)</f>
        <v>0</v>
      </c>
      <c r="EP787" s="1460"/>
      <c r="EQ787" s="1460"/>
      <c r="ER787" s="1460"/>
      <c r="ES787" s="1461"/>
      <c r="ET787" s="1459">
        <f t="shared" ref="ET787:ET796" si="53">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1"/>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2"/>
        <v>0</v>
      </c>
      <c r="CQ788" s="1460"/>
      <c r="CR788" s="1460"/>
      <c r="CS788" s="1460"/>
      <c r="CT788" s="1461"/>
      <c r="CU788" s="1459">
        <f t="shared" si="43"/>
        <v>0</v>
      </c>
      <c r="CV788" s="1460"/>
      <c r="CW788" s="1460"/>
      <c r="CX788" s="1460"/>
      <c r="CY788" s="1461"/>
      <c r="CZ788" s="1459">
        <f t="shared" si="44"/>
        <v>0</v>
      </c>
      <c r="DA788" s="1460"/>
      <c r="DB788" s="1460"/>
      <c r="DC788" s="1460"/>
      <c r="DD788" s="1461"/>
      <c r="DE788" s="1459">
        <f t="shared" si="45"/>
        <v>0</v>
      </c>
      <c r="DF788" s="1460"/>
      <c r="DG788" s="1460"/>
      <c r="DH788" s="1460"/>
      <c r="DI788" s="1461"/>
      <c r="DJ788" s="1459">
        <f t="shared" si="46"/>
        <v>0</v>
      </c>
      <c r="DK788" s="1460"/>
      <c r="DL788" s="1460"/>
      <c r="DM788" s="1460"/>
      <c r="DN788" s="1461"/>
      <c r="DO788" s="1459">
        <f t="shared" si="47"/>
        <v>0</v>
      </c>
      <c r="DP788" s="1460"/>
      <c r="DQ788" s="1460"/>
      <c r="DR788" s="1460"/>
      <c r="DS788" s="1461"/>
      <c r="DT788" s="6"/>
      <c r="DU788" s="1459">
        <f t="shared" si="48"/>
        <v>0</v>
      </c>
      <c r="DV788" s="1460"/>
      <c r="DW788" s="1460"/>
      <c r="DX788" s="1460"/>
      <c r="DY788" s="1461"/>
      <c r="DZ788" s="1459">
        <f t="shared" si="49"/>
        <v>0</v>
      </c>
      <c r="EA788" s="1460"/>
      <c r="EB788" s="1460"/>
      <c r="EC788" s="1460"/>
      <c r="ED788" s="1461"/>
      <c r="EE788" s="1459">
        <f t="shared" si="50"/>
        <v>0</v>
      </c>
      <c r="EF788" s="1460"/>
      <c r="EG788" s="1460"/>
      <c r="EH788" s="1460"/>
      <c r="EI788" s="1461"/>
      <c r="EJ788" s="1459">
        <f t="shared" si="51"/>
        <v>0</v>
      </c>
      <c r="EK788" s="1460"/>
      <c r="EL788" s="1460"/>
      <c r="EM788" s="1460"/>
      <c r="EN788" s="1461"/>
      <c r="EO788" s="1459">
        <f t="shared" si="52"/>
        <v>0</v>
      </c>
      <c r="EP788" s="1460"/>
      <c r="EQ788" s="1460"/>
      <c r="ER788" s="1460"/>
      <c r="ES788" s="1461"/>
      <c r="ET788" s="1459">
        <f t="shared" si="53"/>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1"/>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2"/>
        <v>0</v>
      </c>
      <c r="CQ789" s="1460"/>
      <c r="CR789" s="1460"/>
      <c r="CS789" s="1460"/>
      <c r="CT789" s="1461"/>
      <c r="CU789" s="1459">
        <f t="shared" si="43"/>
        <v>0</v>
      </c>
      <c r="CV789" s="1460"/>
      <c r="CW789" s="1460"/>
      <c r="CX789" s="1460"/>
      <c r="CY789" s="1461"/>
      <c r="CZ789" s="1459">
        <f t="shared" si="44"/>
        <v>0</v>
      </c>
      <c r="DA789" s="1460"/>
      <c r="DB789" s="1460"/>
      <c r="DC789" s="1460"/>
      <c r="DD789" s="1461"/>
      <c r="DE789" s="1459">
        <f t="shared" si="45"/>
        <v>0</v>
      </c>
      <c r="DF789" s="1460"/>
      <c r="DG789" s="1460"/>
      <c r="DH789" s="1460"/>
      <c r="DI789" s="1461"/>
      <c r="DJ789" s="1459">
        <f t="shared" si="46"/>
        <v>0</v>
      </c>
      <c r="DK789" s="1460"/>
      <c r="DL789" s="1460"/>
      <c r="DM789" s="1460"/>
      <c r="DN789" s="1461"/>
      <c r="DO789" s="1459">
        <f t="shared" si="47"/>
        <v>0</v>
      </c>
      <c r="DP789" s="1460"/>
      <c r="DQ789" s="1460"/>
      <c r="DR789" s="1460"/>
      <c r="DS789" s="1461"/>
      <c r="DT789" s="6"/>
      <c r="DU789" s="1459">
        <f t="shared" si="48"/>
        <v>0</v>
      </c>
      <c r="DV789" s="1460"/>
      <c r="DW789" s="1460"/>
      <c r="DX789" s="1460"/>
      <c r="DY789" s="1461"/>
      <c r="DZ789" s="1459">
        <f t="shared" si="49"/>
        <v>0</v>
      </c>
      <c r="EA789" s="1460"/>
      <c r="EB789" s="1460"/>
      <c r="EC789" s="1460"/>
      <c r="ED789" s="1461"/>
      <c r="EE789" s="1459">
        <f t="shared" si="50"/>
        <v>0</v>
      </c>
      <c r="EF789" s="1460"/>
      <c r="EG789" s="1460"/>
      <c r="EH789" s="1460"/>
      <c r="EI789" s="1461"/>
      <c r="EJ789" s="1459">
        <f t="shared" si="51"/>
        <v>0</v>
      </c>
      <c r="EK789" s="1460"/>
      <c r="EL789" s="1460"/>
      <c r="EM789" s="1460"/>
      <c r="EN789" s="1461"/>
      <c r="EO789" s="1459">
        <f t="shared" si="52"/>
        <v>0</v>
      </c>
      <c r="EP789" s="1460"/>
      <c r="EQ789" s="1460"/>
      <c r="ER789" s="1460"/>
      <c r="ES789" s="1461"/>
      <c r="ET789" s="1459">
        <f t="shared" si="53"/>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1"/>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2"/>
        <v>0</v>
      </c>
      <c r="CQ790" s="1460"/>
      <c r="CR790" s="1460"/>
      <c r="CS790" s="1460"/>
      <c r="CT790" s="1461"/>
      <c r="CU790" s="1459">
        <f t="shared" si="43"/>
        <v>0</v>
      </c>
      <c r="CV790" s="1460"/>
      <c r="CW790" s="1460"/>
      <c r="CX790" s="1460"/>
      <c r="CY790" s="1461"/>
      <c r="CZ790" s="1459">
        <f t="shared" si="44"/>
        <v>0</v>
      </c>
      <c r="DA790" s="1460"/>
      <c r="DB790" s="1460"/>
      <c r="DC790" s="1460"/>
      <c r="DD790" s="1461"/>
      <c r="DE790" s="1459">
        <f t="shared" si="45"/>
        <v>0</v>
      </c>
      <c r="DF790" s="1460"/>
      <c r="DG790" s="1460"/>
      <c r="DH790" s="1460"/>
      <c r="DI790" s="1461"/>
      <c r="DJ790" s="1459">
        <f t="shared" si="46"/>
        <v>0</v>
      </c>
      <c r="DK790" s="1460"/>
      <c r="DL790" s="1460"/>
      <c r="DM790" s="1460"/>
      <c r="DN790" s="1461"/>
      <c r="DO790" s="1459">
        <f t="shared" si="47"/>
        <v>0</v>
      </c>
      <c r="DP790" s="1460"/>
      <c r="DQ790" s="1460"/>
      <c r="DR790" s="1460"/>
      <c r="DS790" s="1461"/>
      <c r="DT790" s="6"/>
      <c r="DU790" s="1459">
        <f t="shared" si="48"/>
        <v>0</v>
      </c>
      <c r="DV790" s="1460"/>
      <c r="DW790" s="1460"/>
      <c r="DX790" s="1460"/>
      <c r="DY790" s="1461"/>
      <c r="DZ790" s="1459">
        <f t="shared" si="49"/>
        <v>0</v>
      </c>
      <c r="EA790" s="1460"/>
      <c r="EB790" s="1460"/>
      <c r="EC790" s="1460"/>
      <c r="ED790" s="1461"/>
      <c r="EE790" s="1459">
        <f t="shared" si="50"/>
        <v>0</v>
      </c>
      <c r="EF790" s="1460"/>
      <c r="EG790" s="1460"/>
      <c r="EH790" s="1460"/>
      <c r="EI790" s="1461"/>
      <c r="EJ790" s="1459">
        <f t="shared" si="51"/>
        <v>0</v>
      </c>
      <c r="EK790" s="1460"/>
      <c r="EL790" s="1460"/>
      <c r="EM790" s="1460"/>
      <c r="EN790" s="1461"/>
      <c r="EO790" s="1459">
        <f t="shared" si="52"/>
        <v>0</v>
      </c>
      <c r="EP790" s="1460"/>
      <c r="EQ790" s="1460"/>
      <c r="ER790" s="1460"/>
      <c r="ES790" s="1461"/>
      <c r="ET790" s="1459">
        <f t="shared" si="53"/>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1"/>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2"/>
        <v>0</v>
      </c>
      <c r="CQ791" s="1460"/>
      <c r="CR791" s="1460"/>
      <c r="CS791" s="1460"/>
      <c r="CT791" s="1461"/>
      <c r="CU791" s="1459">
        <f t="shared" si="43"/>
        <v>0</v>
      </c>
      <c r="CV791" s="1460"/>
      <c r="CW791" s="1460"/>
      <c r="CX791" s="1460"/>
      <c r="CY791" s="1461"/>
      <c r="CZ791" s="1459">
        <f t="shared" si="44"/>
        <v>0</v>
      </c>
      <c r="DA791" s="1460"/>
      <c r="DB791" s="1460"/>
      <c r="DC791" s="1460"/>
      <c r="DD791" s="1461"/>
      <c r="DE791" s="1459">
        <f t="shared" si="45"/>
        <v>0</v>
      </c>
      <c r="DF791" s="1460"/>
      <c r="DG791" s="1460"/>
      <c r="DH791" s="1460"/>
      <c r="DI791" s="1461"/>
      <c r="DJ791" s="1459">
        <f t="shared" si="46"/>
        <v>0</v>
      </c>
      <c r="DK791" s="1460"/>
      <c r="DL791" s="1460"/>
      <c r="DM791" s="1460"/>
      <c r="DN791" s="1461"/>
      <c r="DO791" s="1459">
        <f t="shared" si="47"/>
        <v>0</v>
      </c>
      <c r="DP791" s="1460"/>
      <c r="DQ791" s="1460"/>
      <c r="DR791" s="1460"/>
      <c r="DS791" s="1461"/>
      <c r="DT791" s="6"/>
      <c r="DU791" s="1459">
        <f t="shared" si="48"/>
        <v>0</v>
      </c>
      <c r="DV791" s="1460"/>
      <c r="DW791" s="1460"/>
      <c r="DX791" s="1460"/>
      <c r="DY791" s="1461"/>
      <c r="DZ791" s="1459">
        <f t="shared" si="49"/>
        <v>0</v>
      </c>
      <c r="EA791" s="1460"/>
      <c r="EB791" s="1460"/>
      <c r="EC791" s="1460"/>
      <c r="ED791" s="1461"/>
      <c r="EE791" s="1459">
        <f t="shared" si="50"/>
        <v>0</v>
      </c>
      <c r="EF791" s="1460"/>
      <c r="EG791" s="1460"/>
      <c r="EH791" s="1460"/>
      <c r="EI791" s="1461"/>
      <c r="EJ791" s="1459">
        <f t="shared" si="51"/>
        <v>0</v>
      </c>
      <c r="EK791" s="1460"/>
      <c r="EL791" s="1460"/>
      <c r="EM791" s="1460"/>
      <c r="EN791" s="1461"/>
      <c r="EO791" s="1459">
        <f t="shared" si="52"/>
        <v>0</v>
      </c>
      <c r="EP791" s="1460"/>
      <c r="EQ791" s="1460"/>
      <c r="ER791" s="1460"/>
      <c r="ES791" s="1461"/>
      <c r="ET791" s="1459">
        <f t="shared" si="53"/>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1"/>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2"/>
        <v>0</v>
      </c>
      <c r="CQ792" s="1460"/>
      <c r="CR792" s="1460"/>
      <c r="CS792" s="1460"/>
      <c r="CT792" s="1461"/>
      <c r="CU792" s="1459">
        <f t="shared" si="43"/>
        <v>0</v>
      </c>
      <c r="CV792" s="1460"/>
      <c r="CW792" s="1460"/>
      <c r="CX792" s="1460"/>
      <c r="CY792" s="1461"/>
      <c r="CZ792" s="1459">
        <f t="shared" si="44"/>
        <v>0</v>
      </c>
      <c r="DA792" s="1460"/>
      <c r="DB792" s="1460"/>
      <c r="DC792" s="1460"/>
      <c r="DD792" s="1461"/>
      <c r="DE792" s="1459">
        <f t="shared" si="45"/>
        <v>0</v>
      </c>
      <c r="DF792" s="1460"/>
      <c r="DG792" s="1460"/>
      <c r="DH792" s="1460"/>
      <c r="DI792" s="1461"/>
      <c r="DJ792" s="1459">
        <f t="shared" si="46"/>
        <v>0</v>
      </c>
      <c r="DK792" s="1460"/>
      <c r="DL792" s="1460"/>
      <c r="DM792" s="1460"/>
      <c r="DN792" s="1461"/>
      <c r="DO792" s="1459">
        <f t="shared" si="47"/>
        <v>0</v>
      </c>
      <c r="DP792" s="1460"/>
      <c r="DQ792" s="1460"/>
      <c r="DR792" s="1460"/>
      <c r="DS792" s="1461"/>
      <c r="DT792" s="6"/>
      <c r="DU792" s="1459">
        <f t="shared" si="48"/>
        <v>0</v>
      </c>
      <c r="DV792" s="1460"/>
      <c r="DW792" s="1460"/>
      <c r="DX792" s="1460"/>
      <c r="DY792" s="1461"/>
      <c r="DZ792" s="1459">
        <f t="shared" si="49"/>
        <v>0</v>
      </c>
      <c r="EA792" s="1460"/>
      <c r="EB792" s="1460"/>
      <c r="EC792" s="1460"/>
      <c r="ED792" s="1461"/>
      <c r="EE792" s="1459">
        <f t="shared" si="50"/>
        <v>0</v>
      </c>
      <c r="EF792" s="1460"/>
      <c r="EG792" s="1460"/>
      <c r="EH792" s="1460"/>
      <c r="EI792" s="1461"/>
      <c r="EJ792" s="1459">
        <f t="shared" si="51"/>
        <v>0</v>
      </c>
      <c r="EK792" s="1460"/>
      <c r="EL792" s="1460"/>
      <c r="EM792" s="1460"/>
      <c r="EN792" s="1461"/>
      <c r="EO792" s="1459">
        <f t="shared" si="52"/>
        <v>0</v>
      </c>
      <c r="EP792" s="1460"/>
      <c r="EQ792" s="1460"/>
      <c r="ER792" s="1460"/>
      <c r="ES792" s="1461"/>
      <c r="ET792" s="1459">
        <f t="shared" si="53"/>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1"/>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2"/>
        <v>0</v>
      </c>
      <c r="CQ793" s="1460"/>
      <c r="CR793" s="1460"/>
      <c r="CS793" s="1460"/>
      <c r="CT793" s="1461"/>
      <c r="CU793" s="1459">
        <f t="shared" si="43"/>
        <v>0</v>
      </c>
      <c r="CV793" s="1460"/>
      <c r="CW793" s="1460"/>
      <c r="CX793" s="1460"/>
      <c r="CY793" s="1461"/>
      <c r="CZ793" s="1459">
        <f t="shared" si="44"/>
        <v>0</v>
      </c>
      <c r="DA793" s="1460"/>
      <c r="DB793" s="1460"/>
      <c r="DC793" s="1460"/>
      <c r="DD793" s="1461"/>
      <c r="DE793" s="1459">
        <f t="shared" si="45"/>
        <v>0</v>
      </c>
      <c r="DF793" s="1460"/>
      <c r="DG793" s="1460"/>
      <c r="DH793" s="1460"/>
      <c r="DI793" s="1461"/>
      <c r="DJ793" s="1459">
        <f t="shared" si="46"/>
        <v>0</v>
      </c>
      <c r="DK793" s="1460"/>
      <c r="DL793" s="1460"/>
      <c r="DM793" s="1460"/>
      <c r="DN793" s="1461"/>
      <c r="DO793" s="1459">
        <f t="shared" si="47"/>
        <v>0</v>
      </c>
      <c r="DP793" s="1460"/>
      <c r="DQ793" s="1460"/>
      <c r="DR793" s="1460"/>
      <c r="DS793" s="1461"/>
      <c r="DT793" s="6"/>
      <c r="DU793" s="1459">
        <f t="shared" si="48"/>
        <v>0</v>
      </c>
      <c r="DV793" s="1460"/>
      <c r="DW793" s="1460"/>
      <c r="DX793" s="1460"/>
      <c r="DY793" s="1461"/>
      <c r="DZ793" s="1459">
        <f t="shared" si="49"/>
        <v>0</v>
      </c>
      <c r="EA793" s="1460"/>
      <c r="EB793" s="1460"/>
      <c r="EC793" s="1460"/>
      <c r="ED793" s="1461"/>
      <c r="EE793" s="1459">
        <f t="shared" si="50"/>
        <v>0</v>
      </c>
      <c r="EF793" s="1460"/>
      <c r="EG793" s="1460"/>
      <c r="EH793" s="1460"/>
      <c r="EI793" s="1461"/>
      <c r="EJ793" s="1459">
        <f t="shared" si="51"/>
        <v>0</v>
      </c>
      <c r="EK793" s="1460"/>
      <c r="EL793" s="1460"/>
      <c r="EM793" s="1460"/>
      <c r="EN793" s="1461"/>
      <c r="EO793" s="1459">
        <f t="shared" si="52"/>
        <v>0</v>
      </c>
      <c r="EP793" s="1460"/>
      <c r="EQ793" s="1460"/>
      <c r="ER793" s="1460"/>
      <c r="ES793" s="1461"/>
      <c r="ET793" s="1459">
        <f t="shared" si="53"/>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1"/>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2"/>
        <v>0</v>
      </c>
      <c r="CQ794" s="1460"/>
      <c r="CR794" s="1460"/>
      <c r="CS794" s="1460"/>
      <c r="CT794" s="1461"/>
      <c r="CU794" s="1459">
        <f t="shared" si="43"/>
        <v>0</v>
      </c>
      <c r="CV794" s="1460"/>
      <c r="CW794" s="1460"/>
      <c r="CX794" s="1460"/>
      <c r="CY794" s="1461"/>
      <c r="CZ794" s="1459">
        <f t="shared" si="44"/>
        <v>0</v>
      </c>
      <c r="DA794" s="1460"/>
      <c r="DB794" s="1460"/>
      <c r="DC794" s="1460"/>
      <c r="DD794" s="1461"/>
      <c r="DE794" s="1459">
        <f t="shared" si="45"/>
        <v>0</v>
      </c>
      <c r="DF794" s="1460"/>
      <c r="DG794" s="1460"/>
      <c r="DH794" s="1460"/>
      <c r="DI794" s="1461"/>
      <c r="DJ794" s="1459">
        <f t="shared" si="46"/>
        <v>0</v>
      </c>
      <c r="DK794" s="1460"/>
      <c r="DL794" s="1460"/>
      <c r="DM794" s="1460"/>
      <c r="DN794" s="1461"/>
      <c r="DO794" s="1459">
        <f t="shared" si="47"/>
        <v>0</v>
      </c>
      <c r="DP794" s="1460"/>
      <c r="DQ794" s="1460"/>
      <c r="DR794" s="1460"/>
      <c r="DS794" s="1461"/>
      <c r="DT794" s="6"/>
      <c r="DU794" s="1459">
        <f t="shared" si="48"/>
        <v>0</v>
      </c>
      <c r="DV794" s="1460"/>
      <c r="DW794" s="1460"/>
      <c r="DX794" s="1460"/>
      <c r="DY794" s="1461"/>
      <c r="DZ794" s="1459">
        <f t="shared" si="49"/>
        <v>0</v>
      </c>
      <c r="EA794" s="1460"/>
      <c r="EB794" s="1460"/>
      <c r="EC794" s="1460"/>
      <c r="ED794" s="1461"/>
      <c r="EE794" s="1459">
        <f t="shared" si="50"/>
        <v>0</v>
      </c>
      <c r="EF794" s="1460"/>
      <c r="EG794" s="1460"/>
      <c r="EH794" s="1460"/>
      <c r="EI794" s="1461"/>
      <c r="EJ794" s="1459">
        <f t="shared" si="51"/>
        <v>0</v>
      </c>
      <c r="EK794" s="1460"/>
      <c r="EL794" s="1460"/>
      <c r="EM794" s="1460"/>
      <c r="EN794" s="1461"/>
      <c r="EO794" s="1459">
        <f t="shared" si="52"/>
        <v>0</v>
      </c>
      <c r="EP794" s="1460"/>
      <c r="EQ794" s="1460"/>
      <c r="ER794" s="1460"/>
      <c r="ES794" s="1461"/>
      <c r="ET794" s="1459">
        <f t="shared" si="53"/>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1"/>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2"/>
        <v>0</v>
      </c>
      <c r="CQ795" s="1460"/>
      <c r="CR795" s="1460"/>
      <c r="CS795" s="1460"/>
      <c r="CT795" s="1461"/>
      <c r="CU795" s="1459">
        <f t="shared" si="43"/>
        <v>0</v>
      </c>
      <c r="CV795" s="1460"/>
      <c r="CW795" s="1460"/>
      <c r="CX795" s="1460"/>
      <c r="CY795" s="1461"/>
      <c r="CZ795" s="1459">
        <f t="shared" si="44"/>
        <v>0</v>
      </c>
      <c r="DA795" s="1460"/>
      <c r="DB795" s="1460"/>
      <c r="DC795" s="1460"/>
      <c r="DD795" s="1461"/>
      <c r="DE795" s="1459">
        <f t="shared" si="45"/>
        <v>0</v>
      </c>
      <c r="DF795" s="1460"/>
      <c r="DG795" s="1460"/>
      <c r="DH795" s="1460"/>
      <c r="DI795" s="1461"/>
      <c r="DJ795" s="1459">
        <f t="shared" si="46"/>
        <v>0</v>
      </c>
      <c r="DK795" s="1460"/>
      <c r="DL795" s="1460"/>
      <c r="DM795" s="1460"/>
      <c r="DN795" s="1461"/>
      <c r="DO795" s="1459">
        <f t="shared" si="47"/>
        <v>0</v>
      </c>
      <c r="DP795" s="1460"/>
      <c r="DQ795" s="1460"/>
      <c r="DR795" s="1460"/>
      <c r="DS795" s="1461"/>
      <c r="DT795" s="6"/>
      <c r="DU795" s="1459">
        <f t="shared" si="48"/>
        <v>0</v>
      </c>
      <c r="DV795" s="1460"/>
      <c r="DW795" s="1460"/>
      <c r="DX795" s="1460"/>
      <c r="DY795" s="1461"/>
      <c r="DZ795" s="1459">
        <f t="shared" si="49"/>
        <v>0</v>
      </c>
      <c r="EA795" s="1460"/>
      <c r="EB795" s="1460"/>
      <c r="EC795" s="1460"/>
      <c r="ED795" s="1461"/>
      <c r="EE795" s="1459">
        <f t="shared" si="50"/>
        <v>0</v>
      </c>
      <c r="EF795" s="1460"/>
      <c r="EG795" s="1460"/>
      <c r="EH795" s="1460"/>
      <c r="EI795" s="1461"/>
      <c r="EJ795" s="1459">
        <f t="shared" si="51"/>
        <v>0</v>
      </c>
      <c r="EK795" s="1460"/>
      <c r="EL795" s="1460"/>
      <c r="EM795" s="1460"/>
      <c r="EN795" s="1461"/>
      <c r="EO795" s="1459">
        <f t="shared" si="52"/>
        <v>0</v>
      </c>
      <c r="EP795" s="1460"/>
      <c r="EQ795" s="1460"/>
      <c r="ER795" s="1460"/>
      <c r="ES795" s="1461"/>
      <c r="ET795" s="1459">
        <f t="shared" si="53"/>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1"/>
        <v>0</v>
      </c>
      <c r="AD796" s="1354"/>
      <c r="AE796" s="1354"/>
      <c r="AF796" s="1354"/>
      <c r="AG796" s="1355"/>
      <c r="AH796"/>
      <c r="AI796"/>
      <c r="AJ796"/>
      <c r="AK796"/>
      <c r="AL796"/>
      <c r="AM796"/>
      <c r="AN796"/>
      <c r="AO796"/>
      <c r="AP796"/>
      <c r="AQ796"/>
      <c r="AR796"/>
      <c r="AS796"/>
      <c r="AT796"/>
      <c r="AU796"/>
      <c r="AV796"/>
      <c r="AW796"/>
      <c r="AX796"/>
      <c r="AY796"/>
      <c r="AZ796" s="3"/>
      <c r="CP796" s="1459">
        <f t="shared" si="42"/>
        <v>0</v>
      </c>
      <c r="CQ796" s="1460"/>
      <c r="CR796" s="1460"/>
      <c r="CS796" s="1460"/>
      <c r="CT796" s="1461"/>
      <c r="CU796" s="1459">
        <f t="shared" si="43"/>
        <v>0</v>
      </c>
      <c r="CV796" s="1460"/>
      <c r="CW796" s="1460"/>
      <c r="CX796" s="1460"/>
      <c r="CY796" s="1461"/>
      <c r="CZ796" s="1459">
        <f t="shared" si="44"/>
        <v>0</v>
      </c>
      <c r="DA796" s="1460"/>
      <c r="DB796" s="1460"/>
      <c r="DC796" s="1460"/>
      <c r="DD796" s="1461"/>
      <c r="DE796" s="1459">
        <f t="shared" si="45"/>
        <v>0</v>
      </c>
      <c r="DF796" s="1460"/>
      <c r="DG796" s="1460"/>
      <c r="DH796" s="1460"/>
      <c r="DI796" s="1461"/>
      <c r="DJ796" s="1459">
        <f t="shared" si="46"/>
        <v>0</v>
      </c>
      <c r="DK796" s="1460"/>
      <c r="DL796" s="1460"/>
      <c r="DM796" s="1460"/>
      <c r="DN796" s="1461"/>
      <c r="DO796" s="1459">
        <f t="shared" si="47"/>
        <v>0</v>
      </c>
      <c r="DP796" s="1460"/>
      <c r="DQ796" s="1460"/>
      <c r="DR796" s="1460"/>
      <c r="DS796" s="1461"/>
      <c r="DT796" s="6"/>
      <c r="DU796" s="1459">
        <f t="shared" si="48"/>
        <v>0</v>
      </c>
      <c r="DV796" s="1460"/>
      <c r="DW796" s="1460"/>
      <c r="DX796" s="1460"/>
      <c r="DY796" s="1461"/>
      <c r="DZ796" s="1459">
        <f t="shared" si="49"/>
        <v>0</v>
      </c>
      <c r="EA796" s="1460"/>
      <c r="EB796" s="1460"/>
      <c r="EC796" s="1460"/>
      <c r="ED796" s="1461"/>
      <c r="EE796" s="1459">
        <f t="shared" si="50"/>
        <v>0</v>
      </c>
      <c r="EF796" s="1460"/>
      <c r="EG796" s="1460"/>
      <c r="EH796" s="1460"/>
      <c r="EI796" s="1461"/>
      <c r="EJ796" s="1459">
        <f t="shared" si="51"/>
        <v>0</v>
      </c>
      <c r="EK796" s="1460"/>
      <c r="EL796" s="1460"/>
      <c r="EM796" s="1460"/>
      <c r="EN796" s="1461"/>
      <c r="EO796" s="1459">
        <f t="shared" si="52"/>
        <v>0</v>
      </c>
      <c r="EP796" s="1460"/>
      <c r="EQ796" s="1460"/>
      <c r="ER796" s="1460"/>
      <c r="ES796" s="1461"/>
      <c r="ET796" s="1459">
        <f t="shared" si="53"/>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1">
        <f>SUM(O787:S796)</f>
        <v>0</v>
      </c>
      <c r="P797" s="1731"/>
      <c r="Q797" s="1731"/>
      <c r="R797" s="1731"/>
      <c r="S797" s="1731"/>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28800</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345600</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96</v>
      </c>
      <c r="CQ802" s="1474"/>
      <c r="CR802" s="1474"/>
      <c r="CS802" s="1474"/>
      <c r="CT802" s="1475"/>
      <c r="CU802" s="1473">
        <f>CU753+CU777+CU797</f>
        <v>0</v>
      </c>
      <c r="CV802" s="1474"/>
      <c r="CW802" s="1474"/>
      <c r="CX802" s="1474"/>
      <c r="CY802" s="1475"/>
      <c r="CZ802" s="1473">
        <f>CZ753+CZ777+CZ797</f>
        <v>1</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96</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v>96</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3">
        <v>20</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54027</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940536</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6984</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37" t="s">
        <v>333</v>
      </c>
      <c r="Q816" s="1594"/>
      <c r="R816" s="1594"/>
      <c r="S816" s="1594"/>
      <c r="T816" s="1594"/>
      <c r="U816" s="1594"/>
      <c r="V816" s="1594"/>
      <c r="W816" s="1594"/>
      <c r="X816" s="1594"/>
      <c r="Y816" s="1595"/>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6984</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1293120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5"/>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2" t="s">
        <v>334</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0"/>
      <c r="Q824" s="1614"/>
      <c r="R824" s="1614"/>
      <c r="S824" s="1614"/>
      <c r="T824" s="1614"/>
      <c r="U824" s="1614"/>
      <c r="V824" s="1614"/>
      <c r="W824" s="1614"/>
      <c r="X824" s="1614"/>
      <c r="Y824" s="1614"/>
      <c r="Z824" s="1614"/>
      <c r="AA824" s="1614"/>
      <c r="AB824" s="1614"/>
      <c r="AC824" s="1614"/>
      <c r="AD824" s="1614"/>
      <c r="AE824" s="1614"/>
      <c r="AF824" s="1614"/>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v>34</v>
      </c>
      <c r="N825" s="1643"/>
      <c r="O825" s="1643"/>
      <c r="P825" s="1643"/>
      <c r="Q825" s="1643"/>
      <c r="R825" s="1643"/>
      <c r="S825" s="1643"/>
      <c r="T825" s="1643"/>
      <c r="U825" s="1643"/>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3">
        <v>8</v>
      </c>
      <c r="N827" s="1643"/>
      <c r="O827" s="1643"/>
      <c r="P827" s="1643"/>
      <c r="Q827" s="1643"/>
      <c r="R827" s="1643"/>
      <c r="S827" s="1643"/>
      <c r="T827" s="1643"/>
      <c r="U827" s="1643"/>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3">
        <v>32</v>
      </c>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3">
        <v>0</v>
      </c>
      <c r="N829" s="1643"/>
      <c r="O829" s="1643"/>
      <c r="P829" s="1643"/>
      <c r="Q829" s="1643"/>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783</v>
      </c>
      <c r="D830" s="1626"/>
      <c r="E830" s="1626"/>
      <c r="F830" s="1626"/>
      <c r="G830" s="1626"/>
      <c r="H830" s="1626"/>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37" t="s">
        <v>333</v>
      </c>
      <c r="G831" s="1594"/>
      <c r="H831" s="1594"/>
      <c r="I831" s="1594"/>
      <c r="J831" s="1594"/>
      <c r="K831" s="1594"/>
      <c r="L831" s="1594"/>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74</v>
      </c>
      <c r="N832" s="1637"/>
      <c r="O832" s="1637"/>
      <c r="P832" s="1637"/>
      <c r="Q832" s="1637">
        <f>SUM(Q825:T831)</f>
        <v>0</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2721</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2">
        <v>2940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2">
        <v>3000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2">
        <v>73702</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2">
        <v>35000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169</v>
      </c>
      <c r="K846" s="5"/>
      <c r="L846" s="5"/>
      <c r="M846" s="1537" t="s">
        <v>2722</v>
      </c>
      <c r="N846" s="1594"/>
      <c r="O846" s="1594"/>
      <c r="P846" s="1594"/>
      <c r="Q846" s="1594"/>
      <c r="R846" s="1594"/>
      <c r="S846" s="1594"/>
      <c r="T846" s="1594"/>
      <c r="U846" s="1594"/>
      <c r="V846" s="1595"/>
      <c r="W846" s="1482">
        <v>44507</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5">
        <f>SUM(W842:W846)</f>
        <v>159149</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343</v>
      </c>
      <c r="J849" s="1450" t="s">
        <v>344</v>
      </c>
      <c r="K849" s="1451"/>
      <c r="L849" s="1451"/>
      <c r="M849" s="1451"/>
      <c r="N849" s="1451"/>
      <c r="O849" s="1451"/>
      <c r="P849" s="1451"/>
      <c r="Q849" s="1451"/>
      <c r="R849" s="1451"/>
      <c r="S849" s="1451"/>
      <c r="T849" s="1451"/>
      <c r="U849" s="1451"/>
      <c r="V849" s="1452"/>
      <c r="W849" s="1467">
        <v>77988</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2"/>
      <c r="X851" s="1652"/>
      <c r="Y851" s="1652"/>
      <c r="Z851" s="1652"/>
      <c r="AA851" s="1652"/>
      <c r="AB851" s="1652"/>
      <c r="AC851" s="1652"/>
      <c r="AZ851" s="1720"/>
      <c r="BA851" s="1720"/>
      <c r="BB851" s="14"/>
      <c r="BC851" s="14"/>
    </row>
    <row r="852" spans="3:55" ht="12.95" customHeight="1">
      <c r="J852" s="45" t="s">
        <v>350</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459</v>
      </c>
      <c r="K853" s="5"/>
      <c r="L853" s="5"/>
      <c r="M853" s="5"/>
      <c r="N853" s="5"/>
      <c r="O853" s="5"/>
      <c r="P853" s="5"/>
      <c r="Q853" s="5"/>
      <c r="R853" s="5"/>
      <c r="S853" s="5"/>
      <c r="T853" s="5"/>
      <c r="U853" s="5"/>
      <c r="V853" s="46"/>
      <c r="W853" s="1652">
        <f>124200+4958</f>
        <v>129158</v>
      </c>
      <c r="X853" s="1652"/>
      <c r="Y853" s="1652"/>
      <c r="Z853" s="1652"/>
      <c r="AA853" s="1652"/>
      <c r="AB853" s="1652"/>
      <c r="AC853" s="1652"/>
      <c r="AZ853" s="30"/>
      <c r="BA853" s="30"/>
      <c r="BB853" s="14"/>
      <c r="BC853" s="14"/>
    </row>
    <row r="854" spans="3:55" ht="12.95" customHeight="1">
      <c r="J854" s="62" t="s">
        <v>620</v>
      </c>
      <c r="K854" s="5"/>
      <c r="L854" s="5"/>
      <c r="M854" s="5"/>
      <c r="N854" s="5"/>
      <c r="O854" s="5"/>
      <c r="P854" s="5"/>
      <c r="Q854" s="5"/>
      <c r="R854" s="5"/>
      <c r="S854" s="5"/>
      <c r="T854" s="5"/>
      <c r="U854" s="5"/>
      <c r="V854" s="46"/>
      <c r="W854" s="1652">
        <v>120395</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271</v>
      </c>
      <c r="W855" s="1707">
        <f>SUM(W851:W854)</f>
        <v>249553</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1">
        <v>126675</v>
      </c>
      <c r="X857" s="1632"/>
      <c r="Y857" s="1632"/>
      <c r="Z857" s="1632"/>
      <c r="AA857" s="1632"/>
      <c r="AB857" s="1632"/>
      <c r="AC857" s="1633"/>
      <c r="AD857" s="528"/>
      <c r="AZ857" s="34"/>
      <c r="BA857" s="34"/>
      <c r="BB857" s="34"/>
      <c r="BC857" s="34"/>
    </row>
    <row r="858" spans="3:55" ht="12.95" customHeight="1">
      <c r="C858" s="2" t="s">
        <v>346</v>
      </c>
      <c r="J858" s="121" t="s">
        <v>1655</v>
      </c>
      <c r="K858" s="5"/>
      <c r="L858" s="5"/>
      <c r="M858" s="5"/>
      <c r="N858" s="5"/>
      <c r="O858" s="5"/>
      <c r="P858" s="5"/>
      <c r="Q858" s="5"/>
      <c r="R858" s="5"/>
      <c r="S858" s="5"/>
      <c r="T858" s="1711"/>
      <c r="U858" s="1698"/>
      <c r="V858" s="1712"/>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1">
        <v>54090</v>
      </c>
      <c r="X859" s="1632"/>
      <c r="Y859" s="1632"/>
      <c r="Z859" s="1632"/>
      <c r="AA859" s="1632"/>
      <c r="AB859" s="1632"/>
      <c r="AC859" s="1633"/>
      <c r="AD859" s="533"/>
      <c r="AZ859" s="34"/>
      <c r="BA859" s="34"/>
      <c r="BB859" s="34"/>
      <c r="BC859" s="34"/>
    </row>
    <row r="860" spans="3:55" ht="12.95" customHeight="1">
      <c r="C860" s="2"/>
      <c r="J860" s="121" t="s">
        <v>1656</v>
      </c>
      <c r="K860" s="5"/>
      <c r="L860" s="5"/>
      <c r="M860" s="5"/>
      <c r="N860" s="5"/>
      <c r="O860" s="5"/>
      <c r="P860" s="5"/>
      <c r="Q860" s="5"/>
      <c r="R860" s="5"/>
      <c r="S860" s="5"/>
      <c r="T860" s="1711"/>
      <c r="U860" s="1698"/>
      <c r="V860" s="1712"/>
      <c r="W860" s="874"/>
      <c r="X860" s="875"/>
      <c r="Y860" s="875"/>
      <c r="Z860" s="875"/>
      <c r="AA860" s="875"/>
      <c r="AB860" s="875"/>
      <c r="AC860" s="876"/>
      <c r="AD860" s="533"/>
      <c r="AZ860" s="34"/>
      <c r="BA860" s="34"/>
      <c r="BB860" s="34"/>
      <c r="BC860" s="34"/>
    </row>
    <row r="861" spans="3:55" ht="12.95" customHeight="1">
      <c r="J861" s="45" t="s">
        <v>169</v>
      </c>
      <c r="K861" s="5"/>
      <c r="L861" s="5"/>
      <c r="M861" s="1537" t="s">
        <v>2723</v>
      </c>
      <c r="N861" s="1594"/>
      <c r="O861" s="1594"/>
      <c r="P861" s="1594"/>
      <c r="Q861" s="1594"/>
      <c r="R861" s="1594"/>
      <c r="S861" s="1594"/>
      <c r="T861" s="1594"/>
      <c r="U861" s="1594"/>
      <c r="V861" s="1595"/>
      <c r="W861" s="1631">
        <v>97355</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3">
        <f>SUM(W857:W861)</f>
        <v>278120</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1">
        <v>167857</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2">
        <v>79803</v>
      </c>
      <c r="X865" s="1482"/>
      <c r="Y865" s="1482"/>
      <c r="Z865" s="1482"/>
      <c r="AA865" s="1482"/>
      <c r="AB865" s="1482"/>
      <c r="AC865" s="1482"/>
      <c r="AU865" s="14"/>
      <c r="AZ865" s="34"/>
      <c r="BA865" s="34"/>
      <c r="BB865" s="34"/>
      <c r="BC865" s="34"/>
    </row>
    <row r="866" spans="3:55" ht="12.95" customHeight="1">
      <c r="J866" s="45" t="s">
        <v>522</v>
      </c>
      <c r="K866" s="5"/>
      <c r="L866" s="5"/>
      <c r="M866" s="5"/>
      <c r="N866" s="5"/>
      <c r="O866" s="5"/>
      <c r="P866" s="5"/>
      <c r="Q866" s="5"/>
      <c r="R866" s="5"/>
      <c r="S866" s="5"/>
      <c r="T866" s="5"/>
      <c r="U866" s="5"/>
      <c r="V866" s="46"/>
      <c r="W866" s="1482">
        <v>60240</v>
      </c>
      <c r="X866" s="1482"/>
      <c r="Y866" s="1482"/>
      <c r="Z866" s="1482"/>
      <c r="AA866" s="1482"/>
      <c r="AB866" s="1482"/>
      <c r="AC866" s="1482"/>
      <c r="AU866" s="4"/>
      <c r="AZ866" s="34"/>
      <c r="BA866" s="34"/>
      <c r="BB866" s="34"/>
      <c r="BC866" s="34"/>
    </row>
    <row r="867" spans="3:55" ht="12.95" customHeight="1">
      <c r="J867" s="45" t="s">
        <v>521</v>
      </c>
      <c r="K867" s="5"/>
      <c r="L867" s="5"/>
      <c r="M867" s="5"/>
      <c r="N867" s="5"/>
      <c r="O867" s="5"/>
      <c r="P867" s="5"/>
      <c r="Q867" s="5"/>
      <c r="R867" s="5"/>
      <c r="S867" s="5"/>
      <c r="T867" s="5"/>
      <c r="U867" s="5"/>
      <c r="V867" s="46"/>
      <c r="W867" s="1482"/>
      <c r="X867" s="1482"/>
      <c r="Y867" s="1482"/>
      <c r="Z867" s="1482"/>
      <c r="AA867" s="1482"/>
      <c r="AB867" s="1482"/>
      <c r="AC867" s="1482"/>
      <c r="AU867" s="4"/>
      <c r="AZ867" s="34"/>
      <c r="BA867" s="34"/>
      <c r="BB867" s="34"/>
      <c r="BC867" s="34"/>
    </row>
    <row r="868" spans="3:55" ht="12.95" customHeight="1">
      <c r="J868" s="45" t="s">
        <v>520</v>
      </c>
      <c r="K868" s="5"/>
      <c r="L868" s="5"/>
      <c r="M868" s="5"/>
      <c r="N868" s="5"/>
      <c r="O868" s="5"/>
      <c r="P868" s="5"/>
      <c r="Q868" s="5"/>
      <c r="R868" s="5"/>
      <c r="S868" s="5"/>
      <c r="T868" s="5"/>
      <c r="U868" s="5"/>
      <c r="V868" s="46"/>
      <c r="W868" s="1482"/>
      <c r="X868" s="1482"/>
      <c r="Y868" s="1482"/>
      <c r="Z868" s="1482"/>
      <c r="AA868" s="1482"/>
      <c r="AB868" s="1482"/>
      <c r="AC868" s="1482"/>
      <c r="AU868" s="4"/>
      <c r="AZ868" s="34"/>
      <c r="BA868" s="34"/>
      <c r="BB868" s="34"/>
      <c r="BC868" s="34"/>
    </row>
    <row r="869" spans="3:55" ht="12.95" customHeight="1">
      <c r="J869" s="45" t="s">
        <v>519</v>
      </c>
      <c r="K869" s="5"/>
      <c r="L869" s="5"/>
      <c r="M869" s="5"/>
      <c r="N869" s="5"/>
      <c r="O869" s="5"/>
      <c r="P869" s="5"/>
      <c r="Q869" s="5"/>
      <c r="R869" s="5"/>
      <c r="S869" s="5"/>
      <c r="T869" s="5"/>
      <c r="U869" s="5"/>
      <c r="V869" s="46"/>
      <c r="W869" s="1482"/>
      <c r="X869" s="1482"/>
      <c r="Y869" s="1482"/>
      <c r="Z869" s="1482"/>
      <c r="AA869" s="1482"/>
      <c r="AB869" s="1482"/>
      <c r="AC869" s="1482"/>
      <c r="AU869" s="4"/>
      <c r="AZ869" s="34"/>
      <c r="BA869" s="34"/>
      <c r="BB869" s="34"/>
      <c r="BC869" s="34"/>
    </row>
    <row r="870" spans="3:55" ht="12.95" customHeight="1">
      <c r="J870" s="45" t="s">
        <v>518</v>
      </c>
      <c r="K870" s="5"/>
      <c r="L870" s="5"/>
      <c r="M870" s="5"/>
      <c r="N870" s="5"/>
      <c r="O870" s="5"/>
      <c r="P870" s="5"/>
      <c r="Q870" s="5"/>
      <c r="R870" s="5"/>
      <c r="S870" s="5"/>
      <c r="T870" s="5"/>
      <c r="U870" s="5"/>
      <c r="V870" s="46"/>
      <c r="W870" s="1482">
        <v>13550</v>
      </c>
      <c r="X870" s="1482"/>
      <c r="Y870" s="1482"/>
      <c r="Z870" s="1482"/>
      <c r="AA870" s="1482"/>
      <c r="AB870" s="1482"/>
      <c r="AC870" s="1482"/>
      <c r="AU870" s="4"/>
      <c r="AZ870" s="34"/>
      <c r="BA870" s="34"/>
      <c r="BB870" s="34"/>
      <c r="BC870" s="34"/>
    </row>
    <row r="871" spans="3:55" ht="12.95" customHeight="1">
      <c r="J871" s="45" t="s">
        <v>169</v>
      </c>
      <c r="K871" s="5"/>
      <c r="L871" s="5"/>
      <c r="M871" s="1537" t="s">
        <v>333</v>
      </c>
      <c r="N871" s="1594"/>
      <c r="O871" s="1594"/>
      <c r="P871" s="1594"/>
      <c r="Q871" s="1594"/>
      <c r="R871" s="1594"/>
      <c r="S871" s="1594"/>
      <c r="T871" s="1594"/>
      <c r="U871" s="1594"/>
      <c r="V871" s="1595"/>
      <c r="W871" s="1482"/>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5">
        <f>SUM(W865:W871)</f>
        <v>153593</v>
      </c>
      <c r="X872" s="1705"/>
      <c r="Y872" s="1705"/>
      <c r="Z872" s="1705"/>
      <c r="AA872" s="1705"/>
      <c r="AB872" s="1705"/>
      <c r="AC872" s="17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37" t="s">
        <v>2724</v>
      </c>
      <c r="N874" s="1594"/>
      <c r="O874" s="1594"/>
      <c r="P874" s="1594"/>
      <c r="Q874" s="1594"/>
      <c r="R874" s="1594"/>
      <c r="S874" s="1594"/>
      <c r="T874" s="1594"/>
      <c r="U874" s="1594"/>
      <c r="V874" s="1595"/>
      <c r="W874" s="1467">
        <v>1800</v>
      </c>
      <c r="X874" s="1468"/>
      <c r="Y874" s="1468"/>
      <c r="Z874" s="1468"/>
      <c r="AA874" s="1468"/>
      <c r="AB874" s="1468"/>
      <c r="AC874" s="1469"/>
      <c r="AD874" s="533"/>
      <c r="AV874" s="14"/>
      <c r="AW874" s="14"/>
      <c r="AX874" s="14"/>
      <c r="AY874" s="14"/>
      <c r="AZ874" s="34"/>
      <c r="BA874" s="34"/>
      <c r="BB874" s="34"/>
      <c r="BC874" s="34"/>
    </row>
    <row r="875" spans="3:55" ht="12.95" customHeight="1">
      <c r="C875" s="2" t="s">
        <v>1244</v>
      </c>
      <c r="J875" s="45" t="s">
        <v>169</v>
      </c>
      <c r="K875" s="5"/>
      <c r="L875" s="5"/>
      <c r="M875" s="1537" t="s">
        <v>2725</v>
      </c>
      <c r="N875" s="1594"/>
      <c r="O875" s="1594"/>
      <c r="P875" s="1594"/>
      <c r="Q875" s="1594"/>
      <c r="R875" s="1594"/>
      <c r="S875" s="1594"/>
      <c r="T875" s="1594"/>
      <c r="U875" s="1594"/>
      <c r="V875" s="1595"/>
      <c r="W875" s="1467">
        <v>7899</v>
      </c>
      <c r="X875" s="1468"/>
      <c r="Y875" s="1468"/>
      <c r="Z875" s="1468"/>
      <c r="AA875" s="1468"/>
      <c r="AB875" s="1468"/>
      <c r="AC875" s="1469"/>
      <c r="AD875" s="533"/>
      <c r="AV875" s="14"/>
      <c r="AW875" s="14"/>
      <c r="AX875" s="14"/>
      <c r="AY875" s="14"/>
      <c r="AZ875" s="34"/>
      <c r="BA875" s="34"/>
      <c r="BB875" s="34"/>
      <c r="BC875" s="34"/>
    </row>
    <row r="876" spans="3:55" ht="12.95" customHeight="1">
      <c r="J876" s="45" t="s">
        <v>169</v>
      </c>
      <c r="K876" s="5"/>
      <c r="L876" s="5"/>
      <c r="M876" s="1537" t="s">
        <v>333</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37" t="s">
        <v>333</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37" t="s">
        <v>333</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5">
        <f>SUM(W874:W878)</f>
        <v>9699</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1095959</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6">
        <f>O797+O777+G753</f>
        <v>97</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5">
        <f>IF(ISERROR((ROUNDDOWN(AC883/AC884,0))),0,(ROUNDDOWN(AC883/AC884,0)))</f>
        <v>11298</v>
      </c>
      <c r="AD885" s="1705"/>
      <c r="AE885" s="1705"/>
      <c r="AF885" s="1705"/>
      <c r="AG885" s="1705"/>
      <c r="AH885" s="17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8">
        <f>(AC883/12)*3</f>
        <v>273989.75</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55000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48000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1378</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24126</v>
      </c>
      <c r="AD891" s="1468"/>
      <c r="AE891" s="1468"/>
      <c r="AF891" s="1468"/>
      <c r="AG891" s="1468"/>
      <c r="AH891" s="1469"/>
      <c r="AZ891" s="34"/>
      <c r="BA891" s="34"/>
      <c r="BB891" s="34"/>
      <c r="BC891" s="34"/>
    </row>
    <row r="892" spans="3:55" ht="12.95"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2.95" customHeight="1">
      <c r="C894" s="1634" t="s">
        <v>2726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4000</v>
      </c>
      <c r="AD894" s="1482"/>
      <c r="AE894" s="1482"/>
      <c r="AF894" s="1482"/>
      <c r="AG894" s="1482"/>
      <c r="AH894" s="1482"/>
      <c r="AZ894" s="34"/>
      <c r="BA894" s="34"/>
      <c r="BB894" s="34"/>
      <c r="BC894" s="34"/>
    </row>
    <row r="895" spans="3:55" ht="12.95"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792</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818</v>
      </c>
      <c r="G916" s="1588"/>
      <c r="H916" s="1588"/>
      <c r="I916" s="1588"/>
      <c r="J916" s="1588"/>
      <c r="K916" s="1588"/>
      <c r="L916" s="1588"/>
      <c r="M916" s="1588"/>
      <c r="N916" s="1588"/>
      <c r="O916" s="1588"/>
      <c r="P916" s="1588"/>
      <c r="Q916" s="1588"/>
      <c r="R916" s="1588"/>
      <c r="S916" s="1588"/>
      <c r="T916" s="1599"/>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0"/>
      <c r="U917" s="1589"/>
      <c r="V917" s="1590"/>
      <c r="W917" s="1590"/>
      <c r="X917" s="1590"/>
      <c r="Y917" s="1590"/>
      <c r="Z917" s="1590"/>
      <c r="AA917" s="108"/>
      <c r="AB917" s="1638" t="s">
        <v>390</v>
      </c>
      <c r="AC917" s="1638"/>
      <c r="AD917" s="1638"/>
      <c r="AE917" s="1638"/>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409">
        <f>AM554</f>
        <v>40153350.5</v>
      </c>
      <c r="AB918" s="1410"/>
      <c r="AC918" s="1410"/>
      <c r="AD918" s="1410"/>
      <c r="AE918" s="1410"/>
      <c r="AF918" s="1411"/>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3" t="s">
        <v>545</v>
      </c>
      <c r="V919" s="1404"/>
      <c r="W919" s="1404"/>
      <c r="X919" s="1404"/>
      <c r="Y919" s="1404"/>
      <c r="Z919" s="1405"/>
      <c r="AA919" s="1409">
        <f>AM555</f>
        <v>1137236</v>
      </c>
      <c r="AB919" s="1410"/>
      <c r="AC919" s="1410"/>
      <c r="AD919" s="1410"/>
      <c r="AE919" s="1410"/>
      <c r="AF919" s="1411"/>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409"/>
      <c r="AB920" s="1410"/>
      <c r="AC920" s="1410"/>
      <c r="AD920" s="1410"/>
      <c r="AE920" s="1410"/>
      <c r="AF920" s="1411"/>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3" t="s">
        <v>545</v>
      </c>
      <c r="V921" s="1404"/>
      <c r="W921" s="1404"/>
      <c r="X921" s="1404"/>
      <c r="Y921" s="1404"/>
      <c r="Z921" s="1405"/>
      <c r="AA921" s="1409">
        <v>1000000</v>
      </c>
      <c r="AB921" s="1410"/>
      <c r="AC921" s="1410"/>
      <c r="AD921" s="1410"/>
      <c r="AE921" s="1410"/>
      <c r="AF921" s="1411"/>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3" t="s">
        <v>591</v>
      </c>
      <c r="V922" s="1404"/>
      <c r="W922" s="1404"/>
      <c r="X922" s="1404"/>
      <c r="Y922" s="1404"/>
      <c r="Z922" s="1405"/>
      <c r="AA922" s="1409"/>
      <c r="AB922" s="1410"/>
      <c r="AC922" s="1410"/>
      <c r="AD922" s="1410"/>
      <c r="AE922" s="1410"/>
      <c r="AF922" s="1411"/>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409"/>
      <c r="AB923" s="1410"/>
      <c r="AC923" s="1410"/>
      <c r="AD923" s="1410"/>
      <c r="AE923" s="1410"/>
      <c r="AF923" s="1411"/>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409"/>
      <c r="AB924" s="1410"/>
      <c r="AC924" s="1410"/>
      <c r="AD924" s="1410"/>
      <c r="AE924" s="1410"/>
      <c r="AF924" s="1411"/>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409"/>
      <c r="AB925" s="1410"/>
      <c r="AC925" s="1410"/>
      <c r="AD925" s="1410"/>
      <c r="AE925" s="1410"/>
      <c r="AF925" s="1411"/>
      <c r="AZ925" s="34"/>
      <c r="BA925" s="34"/>
      <c r="BB925" s="34"/>
      <c r="BC925" s="34"/>
    </row>
    <row r="926" spans="1:58" ht="12.95" customHeight="1">
      <c r="F926" s="1601" t="s">
        <v>2193</v>
      </c>
      <c r="G926" s="1602"/>
      <c r="H926" s="1602"/>
      <c r="I926" s="1602"/>
      <c r="J926" s="1602"/>
      <c r="K926" s="1602"/>
      <c r="L926" s="1602"/>
      <c r="M926" s="1602"/>
      <c r="N926" s="1602"/>
      <c r="O926" s="1602"/>
      <c r="P926" s="1602"/>
      <c r="Q926" s="1602"/>
      <c r="R926" s="1602"/>
      <c r="S926" s="1602"/>
      <c r="T926" s="1603"/>
      <c r="U926" s="1403" t="s">
        <v>591</v>
      </c>
      <c r="V926" s="1404"/>
      <c r="W926" s="1404"/>
      <c r="X926" s="1404"/>
      <c r="Y926" s="1404"/>
      <c r="Z926" s="1405"/>
      <c r="AA926" s="1409"/>
      <c r="AB926" s="1410"/>
      <c r="AC926" s="1410"/>
      <c r="AD926" s="1410"/>
      <c r="AE926" s="1410"/>
      <c r="AF926" s="1411"/>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3" t="s">
        <v>591</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1" t="s">
        <v>2194</v>
      </c>
      <c r="G928" s="1602"/>
      <c r="H928" s="1602"/>
      <c r="I928" s="1602"/>
      <c r="J928" s="1602"/>
      <c r="K928" s="1602"/>
      <c r="L928" s="1602"/>
      <c r="M928" s="1602"/>
      <c r="N928" s="1602"/>
      <c r="O928" s="1602"/>
      <c r="P928" s="1602"/>
      <c r="Q928" s="1602"/>
      <c r="R928" s="1602"/>
      <c r="S928" s="1602"/>
      <c r="T928" s="1603"/>
      <c r="U928" s="1403" t="s">
        <v>591</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1" t="s">
        <v>2195</v>
      </c>
      <c r="G929" s="1602"/>
      <c r="H929" s="1602"/>
      <c r="I929" s="1602"/>
      <c r="J929" s="1602"/>
      <c r="K929" s="1602"/>
      <c r="L929" s="1602"/>
      <c r="M929" s="1602"/>
      <c r="N929" s="1602"/>
      <c r="O929" s="1602"/>
      <c r="P929" s="1602"/>
      <c r="Q929" s="1602"/>
      <c r="R929" s="1602"/>
      <c r="S929" s="1602"/>
      <c r="T929" s="1603"/>
      <c r="U929" s="1403" t="s">
        <v>545</v>
      </c>
      <c r="V929" s="1404"/>
      <c r="W929" s="1404"/>
      <c r="X929" s="1404"/>
      <c r="Y929" s="1404"/>
      <c r="Z929" s="1405"/>
      <c r="AA929" s="1409">
        <v>11800000</v>
      </c>
      <c r="AB929" s="1410"/>
      <c r="AC929" s="1410"/>
      <c r="AD929" s="1410"/>
      <c r="AE929" s="1410"/>
      <c r="AF929" s="1411"/>
      <c r="AU929" s="2"/>
      <c r="AZ929" s="34"/>
      <c r="BA929" s="34"/>
      <c r="BB929" s="34"/>
      <c r="BC929" s="34"/>
    </row>
    <row r="930" spans="6:55" ht="12.95" customHeight="1">
      <c r="F930" s="1601" t="s">
        <v>2196</v>
      </c>
      <c r="G930" s="1602"/>
      <c r="H930" s="1602"/>
      <c r="I930" s="1602"/>
      <c r="J930" s="1602"/>
      <c r="K930" s="1602"/>
      <c r="L930" s="1602"/>
      <c r="M930" s="1602"/>
      <c r="N930" s="1602"/>
      <c r="O930" s="1602"/>
      <c r="P930" s="1602"/>
      <c r="Q930" s="1602"/>
      <c r="R930" s="1602"/>
      <c r="S930" s="1602"/>
      <c r="T930" s="1603"/>
      <c r="U930" s="1403" t="s">
        <v>591</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1" t="s">
        <v>2197</v>
      </c>
      <c r="G931" s="1602"/>
      <c r="H931" s="1602"/>
      <c r="I931" s="1602"/>
      <c r="J931" s="1602"/>
      <c r="K931" s="1602"/>
      <c r="L931" s="1602"/>
      <c r="M931" s="1602"/>
      <c r="N931" s="1602"/>
      <c r="O931" s="1602"/>
      <c r="P931" s="1602"/>
      <c r="Q931" s="1602"/>
      <c r="R931" s="1602"/>
      <c r="S931" s="1602"/>
      <c r="T931" s="1603"/>
      <c r="U931" s="1403" t="s">
        <v>591</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1" t="s">
        <v>2198</v>
      </c>
      <c r="G932" s="1602"/>
      <c r="H932" s="1602"/>
      <c r="I932" s="1602"/>
      <c r="J932" s="1602"/>
      <c r="K932" s="1602"/>
      <c r="L932" s="1602"/>
      <c r="M932" s="1602"/>
      <c r="N932" s="1602"/>
      <c r="O932" s="1602"/>
      <c r="P932" s="1602"/>
      <c r="Q932" s="1602"/>
      <c r="R932" s="1602"/>
      <c r="S932" s="1602"/>
      <c r="T932" s="1603"/>
      <c r="U932" s="1403" t="s">
        <v>591</v>
      </c>
      <c r="V932" s="1404"/>
      <c r="W932" s="1404"/>
      <c r="X932" s="1404"/>
      <c r="Y932" s="1404"/>
      <c r="Z932" s="1405"/>
      <c r="AA932" s="1409"/>
      <c r="AB932" s="1410"/>
      <c r="AC932" s="1410"/>
      <c r="AD932" s="1410"/>
      <c r="AE932" s="1410"/>
      <c r="AF932" s="1411"/>
      <c r="AZ932" s="30"/>
      <c r="BA932" s="30"/>
    </row>
    <row r="933" spans="6:55" ht="12.95"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409"/>
      <c r="AB933" s="1410"/>
      <c r="AC933" s="1410"/>
      <c r="AD933" s="1410"/>
      <c r="AE933" s="1410"/>
      <c r="AF933" s="1411"/>
    </row>
    <row r="934" spans="6:55" ht="12.95" customHeight="1">
      <c r="F934" s="121" t="s">
        <v>1277</v>
      </c>
      <c r="G934" s="5"/>
      <c r="H934" s="5"/>
      <c r="I934" s="5"/>
      <c r="J934" s="5"/>
      <c r="K934" s="5"/>
      <c r="L934" s="5"/>
      <c r="M934" s="5"/>
      <c r="N934" s="5"/>
      <c r="O934" s="5"/>
      <c r="P934" s="5"/>
      <c r="Q934" s="5"/>
      <c r="R934" s="5"/>
      <c r="S934" s="5"/>
      <c r="T934" s="46"/>
      <c r="U934" s="1403" t="s">
        <v>591</v>
      </c>
      <c r="V934" s="1404"/>
      <c r="W934" s="1404"/>
      <c r="X934" s="1404"/>
      <c r="Y934" s="1404"/>
      <c r="Z934" s="1405"/>
      <c r="AA934" s="1409"/>
      <c r="AB934" s="1410"/>
      <c r="AC934" s="1410"/>
      <c r="AD934" s="1410"/>
      <c r="AE934" s="1410"/>
      <c r="AF934" s="1411"/>
      <c r="AZ934" s="30"/>
      <c r="BA934" s="14"/>
    </row>
    <row r="935" spans="6:55" ht="12.95"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409"/>
      <c r="AB935" s="1410"/>
      <c r="AC935" s="1410"/>
      <c r="AD935" s="1410"/>
      <c r="AE935" s="1410"/>
      <c r="AF935" s="1411"/>
      <c r="AZ935" s="30"/>
      <c r="BA935" s="14"/>
    </row>
    <row r="936" spans="6:55" ht="12.95" customHeight="1">
      <c r="F936" s="1640" t="s">
        <v>2202</v>
      </c>
      <c r="G936" s="1641"/>
      <c r="H936" s="1641"/>
      <c r="I936" s="1641"/>
      <c r="J936" s="1641"/>
      <c r="K936" s="1641"/>
      <c r="L936" s="1641"/>
      <c r="M936" s="1641"/>
      <c r="N936" s="1641"/>
      <c r="O936" s="1641"/>
      <c r="P936" s="1641"/>
      <c r="Q936" s="1641"/>
      <c r="R936" s="1641"/>
      <c r="S936" s="1641"/>
      <c r="T936" s="1642"/>
      <c r="U936" s="1403" t="s">
        <v>591</v>
      </c>
      <c r="V936" s="1404"/>
      <c r="W936" s="1404"/>
      <c r="X936" s="1404"/>
      <c r="Y936" s="1404"/>
      <c r="Z936" s="1405"/>
      <c r="AA936" s="1409"/>
      <c r="AB936" s="1410"/>
      <c r="AC936" s="1410"/>
      <c r="AD936" s="1410"/>
      <c r="AE936" s="1410"/>
      <c r="AF936" s="1411"/>
      <c r="AZ936" s="30"/>
      <c r="BA936" s="14"/>
    </row>
    <row r="937" spans="6:55" ht="12.95" customHeight="1">
      <c r="F937" s="1640" t="s">
        <v>2203</v>
      </c>
      <c r="G937" s="1641"/>
      <c r="H937" s="1641"/>
      <c r="I937" s="1641"/>
      <c r="J937" s="1641"/>
      <c r="K937" s="1641"/>
      <c r="L937" s="1641"/>
      <c r="M937" s="1641"/>
      <c r="N937" s="1641"/>
      <c r="O937" s="1641"/>
      <c r="P937" s="1641"/>
      <c r="Q937" s="1641"/>
      <c r="R937" s="1641"/>
      <c r="S937" s="1641"/>
      <c r="T937" s="1642"/>
      <c r="U937" s="1403" t="s">
        <v>591</v>
      </c>
      <c r="V937" s="1404"/>
      <c r="W937" s="1404"/>
      <c r="X937" s="1404"/>
      <c r="Y937" s="1404"/>
      <c r="Z937" s="1405"/>
      <c r="AA937" s="1409"/>
      <c r="AB937" s="1410"/>
      <c r="AC937" s="1410"/>
      <c r="AD937" s="1410"/>
      <c r="AE937" s="1410"/>
      <c r="AF937" s="1411"/>
      <c r="AZ937" s="30"/>
      <c r="BA937" s="30"/>
    </row>
    <row r="938" spans="6:55" ht="12.95" customHeight="1">
      <c r="F938" s="1601" t="s">
        <v>2199</v>
      </c>
      <c r="G938" s="1602"/>
      <c r="H938" s="1602"/>
      <c r="I938" s="1602"/>
      <c r="J938" s="1602"/>
      <c r="K938" s="1602"/>
      <c r="L938" s="1602"/>
      <c r="M938" s="1602"/>
      <c r="N938" s="1602"/>
      <c r="O938" s="1602"/>
      <c r="P938" s="1602"/>
      <c r="Q938" s="1602"/>
      <c r="R938" s="1602"/>
      <c r="S938" s="1602"/>
      <c r="T938" s="1603"/>
      <c r="U938" s="1403" t="s">
        <v>591</v>
      </c>
      <c r="V938" s="1404"/>
      <c r="W938" s="1404"/>
      <c r="X938" s="1404"/>
      <c r="Y938" s="1404"/>
      <c r="Z938" s="1405"/>
      <c r="AA938" s="1409"/>
      <c r="AB938" s="1410"/>
      <c r="AC938" s="1410"/>
      <c r="AD938" s="1410"/>
      <c r="AE938" s="1410"/>
      <c r="AF938" s="1411"/>
      <c r="AZ938" s="30"/>
      <c r="BA938" s="30"/>
    </row>
    <row r="939" spans="6:55" ht="12.95" customHeight="1">
      <c r="F939" s="1601" t="s">
        <v>2200</v>
      </c>
      <c r="G939" s="1602"/>
      <c r="H939" s="1602"/>
      <c r="I939" s="1602"/>
      <c r="J939" s="1602"/>
      <c r="K939" s="1602"/>
      <c r="L939" s="1602"/>
      <c r="M939" s="1602"/>
      <c r="N939" s="1602"/>
      <c r="O939" s="1602"/>
      <c r="P939" s="1602"/>
      <c r="Q939" s="1602"/>
      <c r="R939" s="1602"/>
      <c r="S939" s="1602"/>
      <c r="T939" s="1603"/>
      <c r="U939" s="1403" t="s">
        <v>591</v>
      </c>
      <c r="V939" s="1404"/>
      <c r="W939" s="1404"/>
      <c r="X939" s="1404"/>
      <c r="Y939" s="1404"/>
      <c r="Z939" s="1405"/>
      <c r="AA939" s="1409"/>
      <c r="AB939" s="1410"/>
      <c r="AC939" s="1410"/>
      <c r="AD939" s="1410"/>
      <c r="AE939" s="1410"/>
      <c r="AF939" s="1411"/>
      <c r="AZ939" s="30"/>
      <c r="BA939" s="30"/>
    </row>
    <row r="940" spans="6:55" ht="12.95" customHeight="1">
      <c r="F940" s="1601" t="s">
        <v>2201</v>
      </c>
      <c r="G940" s="1602"/>
      <c r="H940" s="1602"/>
      <c r="I940" s="1602"/>
      <c r="J940" s="1602"/>
      <c r="K940" s="1602"/>
      <c r="L940" s="1602"/>
      <c r="M940" s="1602"/>
      <c r="N940" s="1602"/>
      <c r="O940" s="1602"/>
      <c r="P940" s="1602"/>
      <c r="Q940" s="1602"/>
      <c r="R940" s="1602"/>
      <c r="S940" s="1602"/>
      <c r="T940" s="1603"/>
      <c r="U940" s="1403" t="s">
        <v>591</v>
      </c>
      <c r="V940" s="1404"/>
      <c r="W940" s="1404"/>
      <c r="X940" s="1404"/>
      <c r="Y940" s="1404"/>
      <c r="Z940" s="1405"/>
      <c r="AA940" s="1409"/>
      <c r="AB940" s="1410"/>
      <c r="AC940" s="1410"/>
      <c r="AD940" s="1410"/>
      <c r="AE940" s="1410"/>
      <c r="AF940" s="1411"/>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3" t="s">
        <v>591</v>
      </c>
      <c r="V941" s="1404"/>
      <c r="W941" s="1404"/>
      <c r="X941" s="1404"/>
      <c r="Y941" s="1404"/>
      <c r="Z941" s="1405"/>
      <c r="AA941" s="1409"/>
      <c r="AB941" s="1410"/>
      <c r="AC941" s="1410"/>
      <c r="AD941" s="1410"/>
      <c r="AE941" s="1410"/>
      <c r="AF941" s="1411"/>
      <c r="AZ941" s="34"/>
      <c r="BA941" s="34"/>
      <c r="BB941" s="14"/>
      <c r="BC941" s="14"/>
    </row>
    <row r="942" spans="6:55" ht="12.95" customHeight="1">
      <c r="F942" s="1640" t="s">
        <v>2204</v>
      </c>
      <c r="G942" s="1641"/>
      <c r="H942" s="1641"/>
      <c r="I942" s="1641"/>
      <c r="J942" s="1641"/>
      <c r="K942" s="1641"/>
      <c r="L942" s="1641"/>
      <c r="M942" s="1641"/>
      <c r="N942" s="1641"/>
      <c r="O942" s="1641"/>
      <c r="P942" s="1641"/>
      <c r="Q942" s="1641"/>
      <c r="R942" s="1641"/>
      <c r="S942" s="1641"/>
      <c r="T942" s="1642"/>
      <c r="U942" s="1403" t="s">
        <v>545</v>
      </c>
      <c r="V942" s="1404"/>
      <c r="W942" s="1404"/>
      <c r="X942" s="1404"/>
      <c r="Y942" s="1404"/>
      <c r="Z942" s="1405"/>
      <c r="AA942" s="1409">
        <v>2000000</v>
      </c>
      <c r="AB942" s="1410"/>
      <c r="AC942" s="1410"/>
      <c r="AD942" s="1410"/>
      <c r="AE942" s="1410"/>
      <c r="AF942" s="1411"/>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3" t="s">
        <v>591</v>
      </c>
      <c r="V943" s="1404"/>
      <c r="W943" s="1404"/>
      <c r="X943" s="1404"/>
      <c r="Y943" s="1404"/>
      <c r="Z943" s="1405"/>
      <c r="AA943" s="1409"/>
      <c r="AB943" s="1410"/>
      <c r="AC943" s="1410"/>
      <c r="AD943" s="1410"/>
      <c r="AE943" s="1410"/>
      <c r="AF943" s="1411"/>
      <c r="AZ943" s="34"/>
      <c r="BA943" s="34"/>
      <c r="BB943" s="34"/>
      <c r="BC943" s="34"/>
    </row>
    <row r="944" spans="6:55" ht="12.95" customHeight="1">
      <c r="F944" s="1640" t="s">
        <v>2205</v>
      </c>
      <c r="G944" s="1641"/>
      <c r="H944" s="1641"/>
      <c r="I944" s="1641"/>
      <c r="J944" s="1641"/>
      <c r="K944" s="1641"/>
      <c r="L944" s="1641"/>
      <c r="M944" s="1641"/>
      <c r="N944" s="1641"/>
      <c r="O944" s="1641"/>
      <c r="P944" s="1641"/>
      <c r="Q944" s="1641"/>
      <c r="R944" s="1641"/>
      <c r="S944" s="1641"/>
      <c r="T944" s="1642"/>
      <c r="U944" s="1403" t="s">
        <v>591</v>
      </c>
      <c r="V944" s="1404"/>
      <c r="W944" s="1404"/>
      <c r="X944" s="1404"/>
      <c r="Y944" s="1404"/>
      <c r="Z944" s="1405"/>
      <c r="AA944" s="1409"/>
      <c r="AB944" s="1410"/>
      <c r="AC944" s="1410"/>
      <c r="AD944" s="1410"/>
      <c r="AE944" s="1410"/>
      <c r="AF944" s="1411"/>
      <c r="AZ944" s="34"/>
      <c r="BA944" s="34"/>
      <c r="BB944" s="34"/>
      <c r="BC944" s="34"/>
    </row>
    <row r="945" spans="1:55" ht="12.95"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409"/>
      <c r="AB945" s="1410"/>
      <c r="AC945" s="1410"/>
      <c r="AD945" s="1410"/>
      <c r="AE945" s="1410"/>
      <c r="AF945" s="1411"/>
      <c r="AZ945" s="34"/>
      <c r="BA945" s="34"/>
      <c r="BB945" s="34"/>
      <c r="BC945" s="34"/>
    </row>
    <row r="946" spans="1:55" ht="12.95" customHeight="1">
      <c r="F946" s="1601" t="s">
        <v>2192</v>
      </c>
      <c r="G946" s="1602"/>
      <c r="H946" s="1603"/>
      <c r="I946" s="1537" t="s">
        <v>333</v>
      </c>
      <c r="J946" s="1594"/>
      <c r="K946" s="1594"/>
      <c r="L946" s="1594"/>
      <c r="M946" s="1594"/>
      <c r="N946" s="1594"/>
      <c r="O946" s="1594"/>
      <c r="P946" s="1594"/>
      <c r="Q946" s="1594"/>
      <c r="R946" s="1594"/>
      <c r="S946" s="1594"/>
      <c r="T946" s="1595"/>
      <c r="U946" s="1403" t="s">
        <v>591</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37" t="s">
        <v>333</v>
      </c>
      <c r="J947" s="1594"/>
      <c r="K947" s="1594"/>
      <c r="L947" s="1594"/>
      <c r="M947" s="1594"/>
      <c r="N947" s="1594"/>
      <c r="O947" s="1594"/>
      <c r="P947" s="1594"/>
      <c r="Q947" s="1594"/>
      <c r="R947" s="1594"/>
      <c r="S947" s="1594"/>
      <c r="T947" s="1595"/>
      <c r="U947" s="1403" t="s">
        <v>591</v>
      </c>
      <c r="V947" s="1404"/>
      <c r="W947" s="1404"/>
      <c r="X947" s="1404"/>
      <c r="Y947" s="1404"/>
      <c r="Z947" s="1405"/>
      <c r="AA947" s="1409"/>
      <c r="AB947" s="1410"/>
      <c r="AC947" s="1410"/>
      <c r="AD947" s="1410"/>
      <c r="AE947" s="1410"/>
      <c r="AF947" s="1411"/>
      <c r="AZ947" s="34"/>
      <c r="BA947" s="34"/>
      <c r="BB947" s="34"/>
      <c r="BC947" s="34"/>
    </row>
    <row r="948" spans="1:55" ht="12.95" customHeight="1">
      <c r="F948" s="45" t="s">
        <v>10</v>
      </c>
      <c r="G948" s="48"/>
      <c r="H948" s="48"/>
      <c r="I948" s="1537" t="s">
        <v>2727</v>
      </c>
      <c r="J948" s="1538"/>
      <c r="K948" s="1538"/>
      <c r="L948" s="1538"/>
      <c r="M948" s="1538"/>
      <c r="N948" s="1538"/>
      <c r="O948" s="1538"/>
      <c r="P948" s="1538"/>
      <c r="Q948" s="1538"/>
      <c r="R948" s="1538"/>
      <c r="S948" s="1538"/>
      <c r="T948" s="1539"/>
      <c r="U948" s="1403" t="s">
        <v>545</v>
      </c>
      <c r="V948" s="1404"/>
      <c r="W948" s="1404"/>
      <c r="X948" s="1404"/>
      <c r="Y948" s="1404"/>
      <c r="Z948" s="1405"/>
      <c r="AA948" s="1409">
        <v>20000000</v>
      </c>
      <c r="AB948" s="1410"/>
      <c r="AC948" s="1410"/>
      <c r="AD948" s="1410"/>
      <c r="AE948" s="1410"/>
      <c r="AF948" s="1411"/>
      <c r="AV948" s="2"/>
      <c r="AW948" s="2"/>
      <c r="AX948" s="2"/>
      <c r="AY948" s="2"/>
      <c r="AZ948" s="34"/>
      <c r="BA948" s="34"/>
      <c r="BB948" s="34"/>
      <c r="BC948" s="34"/>
    </row>
    <row r="949" spans="1:55" ht="12.95" customHeight="1">
      <c r="F949" s="47" t="s">
        <v>169</v>
      </c>
      <c r="G949" s="48"/>
      <c r="H949" s="48"/>
      <c r="I949" s="1654" t="str">
        <f>C629</f>
        <v>Ferguson Foundation Grant - Sponsor Loan</v>
      </c>
      <c r="J949" s="1538"/>
      <c r="K949" s="1538"/>
      <c r="L949" s="1538"/>
      <c r="M949" s="1538"/>
      <c r="N949" s="1538"/>
      <c r="O949" s="1538"/>
      <c r="P949" s="1538"/>
      <c r="Q949" s="1538"/>
      <c r="R949" s="1538"/>
      <c r="S949" s="1538"/>
      <c r="T949" s="1539"/>
      <c r="U949" s="1403" t="s">
        <v>545</v>
      </c>
      <c r="V949" s="1404"/>
      <c r="W949" s="1404"/>
      <c r="X949" s="1404"/>
      <c r="Y949" s="1404"/>
      <c r="Z949" s="1405"/>
      <c r="AA949" s="1409">
        <v>8200000</v>
      </c>
      <c r="AB949" s="1410"/>
      <c r="AC949" s="1410"/>
      <c r="AD949" s="1410"/>
      <c r="AE949" s="1410"/>
      <c r="AF949" s="1411"/>
      <c r="AU949" s="2"/>
      <c r="AZ949" s="34"/>
      <c r="BA949" s="34"/>
      <c r="BB949" s="34"/>
      <c r="BC949" s="34"/>
    </row>
    <row r="950" spans="1:55" ht="12.95" customHeight="1">
      <c r="F950" s="47" t="s">
        <v>169</v>
      </c>
      <c r="G950" s="48"/>
      <c r="H950" s="48"/>
      <c r="I950" s="1537" t="s">
        <v>2322</v>
      </c>
      <c r="J950" s="1538"/>
      <c r="K950" s="1538"/>
      <c r="L950" s="1538"/>
      <c r="M950" s="1538"/>
      <c r="N950" s="1538"/>
      <c r="O950" s="1538"/>
      <c r="P950" s="1538"/>
      <c r="Q950" s="1538"/>
      <c r="R950" s="1538"/>
      <c r="S950" s="1538"/>
      <c r="T950" s="1539"/>
      <c r="U950" s="1403" t="s">
        <v>545</v>
      </c>
      <c r="V950" s="1404"/>
      <c r="W950" s="1404"/>
      <c r="X950" s="1404"/>
      <c r="Y950" s="1404"/>
      <c r="Z950" s="1405"/>
      <c r="AA950" s="1409">
        <v>3500000</v>
      </c>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v>45222</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t="s">
        <v>2728</v>
      </c>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880</v>
      </c>
      <c r="D957" s="5"/>
      <c r="E957" s="5"/>
      <c r="J957" s="1554" t="s">
        <v>2729</v>
      </c>
      <c r="K957" s="1555"/>
      <c r="L957" s="1555"/>
      <c r="M957" s="1555"/>
      <c r="N957" s="1555"/>
      <c r="O957" s="1555"/>
      <c r="P957" s="1555"/>
      <c r="Q957" s="1555"/>
      <c r="R957" s="1555"/>
      <c r="S957" s="1556"/>
      <c r="U957" s="66" t="s">
        <v>880</v>
      </c>
      <c r="V957" s="5"/>
      <c r="W957" s="5"/>
      <c r="AB957" s="1554" t="s">
        <v>306</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1">
        <v>96</v>
      </c>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v>940536</v>
      </c>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v>25986333</v>
      </c>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1661</v>
      </c>
      <c r="D962" s="5"/>
      <c r="E962" s="5"/>
      <c r="F962" s="5"/>
      <c r="G962" s="5"/>
      <c r="H962" s="5"/>
      <c r="I962" s="5"/>
      <c r="J962" s="5"/>
      <c r="K962" s="5"/>
      <c r="L962" s="46"/>
      <c r="M962" s="1406">
        <v>20</v>
      </c>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4" t="s">
        <v>591</v>
      </c>
      <c r="N969" s="1645"/>
      <c r="O969" s="1645"/>
      <c r="P969" s="1645"/>
      <c r="Q969" s="1645"/>
      <c r="R969" s="1645"/>
      <c r="S969" s="1646"/>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8" t="s">
        <v>669</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8" t="s">
        <v>633</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473390</v>
      </c>
      <c r="S986" s="1553"/>
      <c r="T986" s="1553"/>
      <c r="U986" s="1553"/>
      <c r="V986" s="1553"/>
      <c r="W986" s="1553"/>
      <c r="X986" s="1553"/>
      <c r="Y986" s="1553"/>
      <c r="Z986" s="1553"/>
      <c r="AA986" s="1553"/>
      <c r="AB986" s="1391">
        <f>CP802</f>
        <v>96</v>
      </c>
      <c r="AC986" s="1392"/>
      <c r="AD986" s="1392"/>
      <c r="AE986" s="1392"/>
      <c r="AF986" s="1392"/>
      <c r="AG986" s="1392"/>
      <c r="AH986" s="1392"/>
      <c r="AI986" s="1393"/>
      <c r="AJ986" s="1489">
        <f>IF(ISERROR((R986*AB986)),0,(R986*AB986))</f>
        <v>45445440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8" t="s">
        <v>324</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545814</v>
      </c>
      <c r="S987" s="1553"/>
      <c r="T987" s="1553"/>
      <c r="U987" s="1553"/>
      <c r="V987" s="1553"/>
      <c r="W987" s="1553"/>
      <c r="X987" s="1553"/>
      <c r="Y987" s="1553"/>
      <c r="Z987" s="1553"/>
      <c r="AA987" s="1553"/>
      <c r="AB987" s="1391">
        <f>CU802</f>
        <v>0</v>
      </c>
      <c r="AC987" s="1392"/>
      <c r="AD987" s="1392"/>
      <c r="AE987" s="1392"/>
      <c r="AF987" s="1392"/>
      <c r="AG987" s="1392"/>
      <c r="AH987" s="1392"/>
      <c r="AI987" s="1393"/>
      <c r="AJ987" s="1489">
        <f>IF(ISERROR((R987*AB987)),0,(R987*AB987))</f>
        <v>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658400</v>
      </c>
      <c r="S988" s="1553"/>
      <c r="T988" s="1553"/>
      <c r="U988" s="1553"/>
      <c r="V988" s="1553"/>
      <c r="W988" s="1553"/>
      <c r="X988" s="1553"/>
      <c r="Y988" s="1553"/>
      <c r="Z988" s="1553"/>
      <c r="AA988" s="1553"/>
      <c r="AB988" s="1391">
        <f>CZ802</f>
        <v>1</v>
      </c>
      <c r="AC988" s="1392"/>
      <c r="AD988" s="1392"/>
      <c r="AE988" s="1392"/>
      <c r="AF988" s="1392"/>
      <c r="AG988" s="1392"/>
      <c r="AH988" s="1392"/>
      <c r="AI988" s="1393"/>
      <c r="AJ988" s="1489">
        <f>IF(ISERROR((R988*AB988)),0,(R988*AB988))</f>
        <v>658400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842752</v>
      </c>
      <c r="S989" s="1553"/>
      <c r="T989" s="1553"/>
      <c r="U989" s="1553"/>
      <c r="V989" s="1553"/>
      <c r="W989" s="1553"/>
      <c r="X989" s="1553"/>
      <c r="Y989" s="1553"/>
      <c r="Z989" s="1553"/>
      <c r="AA989" s="1553"/>
      <c r="AB989" s="1391">
        <f>DE802</f>
        <v>0</v>
      </c>
      <c r="AC989" s="1392"/>
      <c r="AD989" s="1392"/>
      <c r="AE989" s="1392"/>
      <c r="AF989" s="1392"/>
      <c r="AG989" s="1392"/>
      <c r="AH989" s="1392"/>
      <c r="AI989" s="1393"/>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8" t="s">
        <v>460</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938878</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1">
        <f>SUM(AB986:AI990)</f>
        <v>97</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46103840</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545</v>
      </c>
      <c r="AH994" s="1502"/>
      <c r="AI994" s="87"/>
      <c r="AJ994" s="1394">
        <f>ROUND(IF(AND(AG994="yes",D1000&gt;0),AJ992*0.2,0),0)</f>
        <v>9220768</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0" t="s">
        <v>2613</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96</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0.48</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0.51</v>
      </c>
      <c r="AZ1006" s="34"/>
      <c r="BB1006" s="34"/>
    </row>
    <row r="1007" spans="1:55" ht="12.95"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211</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2608</v>
      </c>
    </row>
    <row r="1013" spans="1:52" ht="12.95" customHeight="1">
      <c r="A1013" s="14"/>
      <c r="B1013" s="79"/>
      <c r="C1013" s="80" t="s">
        <v>214</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4"/>
        <v>0</v>
      </c>
      <c r="AZ1015" s="1255">
        <v>0.05</v>
      </c>
    </row>
    <row r="1016" spans="1:52" ht="12.95" customHeight="1">
      <c r="A1016" s="14"/>
      <c r="B1016" s="79"/>
      <c r="C1016" s="80" t="s">
        <v>217</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4"/>
        <v>0</v>
      </c>
      <c r="AZ1016" s="1255">
        <v>0.02</v>
      </c>
    </row>
    <row r="1017" spans="1:52" ht="12.95"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4"/>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4"/>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4"/>
        <v>0</v>
      </c>
      <c r="AZ1019" s="1255">
        <v>0.01</v>
      </c>
    </row>
    <row r="1020" spans="1:52" ht="12.95" customHeight="1">
      <c r="A1020" s="14"/>
      <c r="B1020" s="79"/>
      <c r="C1020" s="80" t="s">
        <v>222</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4"/>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3">
        <v>9</v>
      </c>
      <c r="AY1021" s="200">
        <f t="shared" si="54"/>
        <v>0</v>
      </c>
      <c r="AZ1021" s="1255">
        <v>0.01</v>
      </c>
    </row>
    <row r="1022" spans="1:52" ht="12.95"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3">
        <v>10</v>
      </c>
      <c r="AY1022" s="200">
        <f t="shared" si="54"/>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4"/>
        <v>0</v>
      </c>
      <c r="AZ1023" s="1255">
        <v>0.02</v>
      </c>
    </row>
    <row r="1024" spans="1:52" ht="12.95" customHeight="1">
      <c r="A1024" s="14"/>
      <c r="B1024" s="81"/>
      <c r="C1024" s="84"/>
      <c r="D1024" s="526"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2607</v>
      </c>
      <c r="AY1024" s="201">
        <f>IF(SUM(AY1015:AY1023)&lt;=0.2,SUM(AY1015:AY1023),0.2)</f>
        <v>0</v>
      </c>
    </row>
    <row r="1025" spans="1:57" ht="12.95" customHeight="1">
      <c r="A1025" s="14"/>
      <c r="B1025" s="79"/>
      <c r="C1025" s="80" t="s">
        <v>228</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545</v>
      </c>
      <c r="AH1025" s="1504"/>
      <c r="AI1025" s="87"/>
      <c r="AJ1025" s="1394">
        <f>ROUND(IF(AG1025="Yes",AF1027,0),0)</f>
        <v>470930</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470930</v>
      </c>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233</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4">
        <f>ROUND(IF(AG1029="yes",(AJ992*0.1),0),0)</f>
        <v>4610384</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545</v>
      </c>
      <c r="AH1032" s="1504"/>
      <c r="AI1032" s="87"/>
      <c r="AJ1032" s="1394">
        <f>ROUND(IF(AG1032="yes",(AJ992*0.15),0),0)</f>
        <v>6915576</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669</v>
      </c>
      <c r="AH1036" s="1584"/>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1</v>
      </c>
      <c r="BB1039" s="3" t="s">
        <v>2494</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2492</v>
      </c>
    </row>
    <row r="1042" spans="1:56" ht="12.95"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2493</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4">
        <f>IF((X1048=0),0,AY1005*AJ992)</f>
        <v>22129843.199999999</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10010406</v>
      </c>
      <c r="BA1046" s="1182">
        <f>IF(BA1040,20%,15%)</f>
        <v>0.15</v>
      </c>
      <c r="BB1046" s="3" t="s">
        <v>2480</v>
      </c>
      <c r="BC1046" s="3" t="s">
        <v>2481</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1">
        <f>AY1003</f>
        <v>96</v>
      </c>
      <c r="J1048" s="1572"/>
      <c r="K1048" s="7"/>
      <c r="L1048" s="133"/>
      <c r="M1048" s="133"/>
      <c r="N1048" s="133"/>
      <c r="O1048" s="133"/>
      <c r="P1048" s="133"/>
      <c r="Q1048" s="133"/>
      <c r="R1048" s="133"/>
      <c r="S1048" s="133"/>
      <c r="T1048" s="133"/>
      <c r="U1048" s="133"/>
      <c r="V1048" s="134" t="s">
        <v>973</v>
      </c>
      <c r="W1048" s="48"/>
      <c r="X1048" s="1569">
        <f>CI753</f>
        <v>47</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1685</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4">
        <f>IF((X1052=0),0,(2*AY1006)*AJ992)</f>
        <v>47025916.800000004</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1">
        <f>AY1003</f>
        <v>96</v>
      </c>
      <c r="J1052" s="1572"/>
      <c r="K1052" s="14"/>
      <c r="L1052" s="133"/>
      <c r="M1052" s="133"/>
      <c r="N1052" s="133"/>
      <c r="O1052" s="133"/>
      <c r="P1052" s="133"/>
      <c r="Q1052" s="133"/>
      <c r="R1052" s="133"/>
      <c r="S1052" s="133"/>
      <c r="T1052" s="133"/>
      <c r="U1052" s="133"/>
      <c r="V1052" s="134" t="s">
        <v>974</v>
      </c>
      <c r="X1052" s="1569">
        <f>CM753</f>
        <v>49</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136477258</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2">
        <f>'Sources and Uses Budget'!S107+'Sources and Uses Budget'!T107</f>
        <v>73736040</v>
      </c>
      <c r="AB1056" s="1852"/>
      <c r="AC1056" s="1852"/>
      <c r="AD1056" s="1852"/>
      <c r="AE1056" s="1852"/>
      <c r="AF1056" s="185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10010406</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3">
        <f>IFERROR((AA1056-BA1059)/(AJ1053-AJ1045-AJ1049),"")</f>
        <v>1.0284387908302337</v>
      </c>
      <c r="AB1057" s="1854"/>
      <c r="AC1057" s="1854"/>
      <c r="AD1057" s="1854"/>
      <c r="AE1057" s="1854"/>
      <c r="AF1057" s="185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5">
        <f>'Sources and Uses Budget'!$S$104+'Sources and Uses Budget'!$T$104</f>
        <v>7000000</v>
      </c>
      <c r="BB1058" s="3" t="s">
        <v>2495</v>
      </c>
    </row>
    <row r="1059" spans="1:54" ht="12.95"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6">
        <f>MAX($BA$1058-$BA$1055,0)</f>
        <v>4500000</v>
      </c>
      <c r="BB1059" s="3" t="s">
        <v>2496</v>
      </c>
    </row>
    <row r="1060" spans="1:54" ht="12.95" customHeight="1">
      <c r="A1060" s="88"/>
      <c r="B1060" s="1172"/>
      <c r="C1060" s="1172"/>
      <c r="D1060" s="1172"/>
      <c r="E1060" s="1172"/>
      <c r="F1060" s="1172"/>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2"/>
      <c r="AP1060" s="1172"/>
      <c r="AQ1060" s="68"/>
      <c r="AR1060" s="68"/>
      <c r="AS1060" s="68"/>
      <c r="AT1060" s="68"/>
      <c r="AU1060" s="68"/>
      <c r="AV1060" s="68"/>
      <c r="AW1060" s="68"/>
      <c r="AX1060" s="68"/>
      <c r="AY1060" s="68"/>
    </row>
    <row r="1061" spans="1:54" ht="12.95"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545</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98" workbookViewId="0">
      <selection activeCell="S14" sqref="S1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0" t="s">
        <v>621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373</v>
      </c>
      <c r="D2" s="138" t="s">
        <v>372</v>
      </c>
      <c r="E2" s="138" t="s">
        <v>24</v>
      </c>
      <c r="F2" s="139" t="str">
        <f>Application!B627&amp;Application!C627</f>
        <v>1)HUD 202 Capital Advance (Sponsor Loan)</v>
      </c>
      <c r="G2" s="139" t="str">
        <f>Application!B628&amp;Application!C628</f>
        <v>2)City of Oakland CDBG (Sponsor Loan)</v>
      </c>
      <c r="H2" s="139" t="str">
        <f>Application!B629&amp;Application!C629</f>
        <v>3)Ferguson Foundation Grant - Sponsor Loan</v>
      </c>
      <c r="I2" s="139" t="str">
        <f>Application!B630&amp;Application!C630</f>
        <v>4)GP Loan AHP</v>
      </c>
      <c r="J2" s="139" t="str">
        <f>Application!B631&amp;Application!C631</f>
        <v>5)City of Oakland Loan</v>
      </c>
      <c r="K2" s="139" t="str">
        <f>Application!B632&amp;Application!C632</f>
        <v>6)Deferred Developer Fee</v>
      </c>
      <c r="L2" s="139" t="str">
        <f>Application!B633&amp;Application!C633</f>
        <v>7)Donated Land</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c r="F4" s="147"/>
      <c r="G4" s="147"/>
      <c r="H4" s="147"/>
      <c r="I4" s="147"/>
      <c r="J4" s="147"/>
      <c r="K4" s="147"/>
      <c r="L4" s="147">
        <f>C4</f>
        <v>2000000</v>
      </c>
      <c r="M4" s="147"/>
      <c r="N4" s="147"/>
      <c r="O4" s="147"/>
      <c r="P4" s="147"/>
      <c r="Q4" s="147"/>
      <c r="R4" s="516">
        <f>SUM(E4:Q4)</f>
        <v>2000000</v>
      </c>
      <c r="S4" s="148"/>
      <c r="T4" s="148"/>
      <c r="U4" s="143"/>
    </row>
    <row r="5" spans="1:21" s="144" customFormat="1">
      <c r="A5" s="145" t="s">
        <v>28</v>
      </c>
      <c r="B5" s="146">
        <f>SUM(C5+D5)</f>
        <v>25000</v>
      </c>
      <c r="C5" s="147">
        <v>25000</v>
      </c>
      <c r="D5" s="147"/>
      <c r="E5" s="147">
        <f>C5</f>
        <v>25000</v>
      </c>
      <c r="F5" s="147"/>
      <c r="G5" s="147"/>
      <c r="H5" s="147"/>
      <c r="I5" s="147"/>
      <c r="J5" s="147"/>
      <c r="K5" s="147"/>
      <c r="L5" s="147"/>
      <c r="M5" s="147"/>
      <c r="N5" s="147"/>
      <c r="O5" s="147"/>
      <c r="P5" s="147"/>
      <c r="Q5" s="147"/>
      <c r="R5" s="516">
        <f>SUM(E5:Q5)</f>
        <v>25000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2025000</v>
      </c>
      <c r="C8" s="146">
        <f t="shared" ref="C8:Q8" si="0">SUM(C4:C7)</f>
        <v>2025000</v>
      </c>
      <c r="D8" s="146">
        <f t="shared" si="0"/>
        <v>0</v>
      </c>
      <c r="E8" s="146">
        <f t="shared" si="0"/>
        <v>25000</v>
      </c>
      <c r="F8" s="146">
        <f t="shared" si="0"/>
        <v>0</v>
      </c>
      <c r="G8" s="146">
        <f t="shared" si="0"/>
        <v>0</v>
      </c>
      <c r="H8" s="146">
        <f t="shared" si="0"/>
        <v>0</v>
      </c>
      <c r="I8" s="146">
        <f t="shared" si="0"/>
        <v>0</v>
      </c>
      <c r="J8" s="146">
        <f t="shared" si="0"/>
        <v>0</v>
      </c>
      <c r="K8" s="146">
        <f t="shared" si="0"/>
        <v>0</v>
      </c>
      <c r="L8" s="146">
        <f t="shared" si="0"/>
        <v>2000000</v>
      </c>
      <c r="M8" s="146">
        <f t="shared" si="0"/>
        <v>0</v>
      </c>
      <c r="N8" s="146">
        <f t="shared" si="0"/>
        <v>0</v>
      </c>
      <c r="O8" s="146">
        <f t="shared" si="0"/>
        <v>0</v>
      </c>
      <c r="P8" s="146"/>
      <c r="Q8" s="146">
        <f t="shared" si="0"/>
        <v>0</v>
      </c>
      <c r="R8" s="342">
        <f>SUM(R4:R7)</f>
        <v>2025000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2025000</v>
      </c>
      <c r="C12" s="146">
        <f t="shared" si="2"/>
        <v>2025000</v>
      </c>
      <c r="D12" s="146">
        <f t="shared" si="2"/>
        <v>0</v>
      </c>
      <c r="E12" s="146">
        <f t="shared" si="2"/>
        <v>25000</v>
      </c>
      <c r="F12" s="146">
        <f t="shared" si="2"/>
        <v>0</v>
      </c>
      <c r="G12" s="146">
        <f t="shared" si="2"/>
        <v>0</v>
      </c>
      <c r="H12" s="146">
        <f t="shared" si="2"/>
        <v>0</v>
      </c>
      <c r="I12" s="146">
        <f t="shared" si="2"/>
        <v>0</v>
      </c>
      <c r="J12" s="146">
        <f t="shared" si="2"/>
        <v>0</v>
      </c>
      <c r="K12" s="146">
        <f t="shared" si="2"/>
        <v>0</v>
      </c>
      <c r="L12" s="146">
        <f t="shared" si="2"/>
        <v>2000000</v>
      </c>
      <c r="M12" s="146">
        <f t="shared" si="2"/>
        <v>0</v>
      </c>
      <c r="N12" s="146">
        <f t="shared" si="2"/>
        <v>0</v>
      </c>
      <c r="O12" s="146">
        <f t="shared" si="2"/>
        <v>0</v>
      </c>
      <c r="P12" s="146"/>
      <c r="Q12" s="146">
        <f t="shared" si="2"/>
        <v>0</v>
      </c>
      <c r="R12" s="342">
        <f>SUM(R8+R11)</f>
        <v>2025000</v>
      </c>
      <c r="S12" s="148"/>
      <c r="T12" s="148"/>
      <c r="U12" s="143"/>
    </row>
    <row r="13" spans="1:21" s="144" customFormat="1">
      <c r="A13" s="287" t="s">
        <v>902</v>
      </c>
      <c r="B13" s="146">
        <f>SUM(C13+D13)</f>
        <v>50000</v>
      </c>
      <c r="C13" s="147">
        <v>50000</v>
      </c>
      <c r="D13" s="147"/>
      <c r="E13" s="147">
        <f>C13</f>
        <v>50000</v>
      </c>
      <c r="F13" s="147"/>
      <c r="G13" s="147"/>
      <c r="H13" s="147"/>
      <c r="I13" s="147"/>
      <c r="J13" s="147"/>
      <c r="K13" s="147"/>
      <c r="L13" s="147"/>
      <c r="M13" s="147"/>
      <c r="N13" s="147"/>
      <c r="O13" s="147"/>
      <c r="P13" s="147"/>
      <c r="Q13" s="147"/>
      <c r="R13" s="516">
        <f>SUM(E13:Q13)</f>
        <v>50000</v>
      </c>
      <c r="S13" s="147">
        <f>R13</f>
        <v>50000</v>
      </c>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48116585</v>
      </c>
      <c r="C30" s="147">
        <v>48116585</v>
      </c>
      <c r="D30" s="147"/>
      <c r="E30" s="147">
        <f>C30-SUM(F30:J30)</f>
        <v>5116585</v>
      </c>
      <c r="F30" s="147">
        <f>F108</f>
        <v>11800000</v>
      </c>
      <c r="G30" s="147">
        <f>G108</f>
        <v>1000000</v>
      </c>
      <c r="H30" s="147">
        <f>H108</f>
        <v>8200000</v>
      </c>
      <c r="I30" s="147">
        <f>I108</f>
        <v>2000000</v>
      </c>
      <c r="J30" s="147">
        <f>J108</f>
        <v>20000000</v>
      </c>
      <c r="K30" s="147"/>
      <c r="L30" s="147"/>
      <c r="M30" s="147"/>
      <c r="N30" s="147"/>
      <c r="O30" s="147"/>
      <c r="P30" s="147"/>
      <c r="Q30" s="147"/>
      <c r="R30" s="516">
        <f t="shared" si="7"/>
        <v>48116585</v>
      </c>
      <c r="S30" s="147">
        <f>R30</f>
        <v>48116585</v>
      </c>
      <c r="T30" s="147"/>
      <c r="U30" s="143"/>
    </row>
    <row r="31" spans="1:21" s="144" customFormat="1">
      <c r="A31" s="145" t="s">
        <v>600</v>
      </c>
      <c r="B31" s="146">
        <f t="shared" si="6"/>
        <v>1784503</v>
      </c>
      <c r="C31" s="147">
        <v>1784503</v>
      </c>
      <c r="D31" s="147"/>
      <c r="E31" s="147">
        <f t="shared" ref="E31:E37" si="8">C31-SUM(F31:J31)</f>
        <v>1784503</v>
      </c>
      <c r="F31" s="147"/>
      <c r="G31" s="147"/>
      <c r="H31" s="147"/>
      <c r="I31" s="147"/>
      <c r="J31" s="147"/>
      <c r="K31" s="147"/>
      <c r="L31" s="147"/>
      <c r="M31" s="147"/>
      <c r="N31" s="147"/>
      <c r="O31" s="147"/>
      <c r="P31" s="147"/>
      <c r="Q31" s="147"/>
      <c r="R31" s="516">
        <f t="shared" si="7"/>
        <v>1784503</v>
      </c>
      <c r="S31" s="147">
        <f t="shared" ref="S31:S37" si="9">R31</f>
        <v>1784503</v>
      </c>
      <c r="T31" s="147"/>
      <c r="U31" s="143"/>
    </row>
    <row r="32" spans="1:21" s="144" customFormat="1">
      <c r="A32" s="145" t="s">
        <v>137</v>
      </c>
      <c r="B32" s="146">
        <f t="shared" si="6"/>
        <v>860655</v>
      </c>
      <c r="C32" s="147">
        <f>1721310/2</f>
        <v>860655</v>
      </c>
      <c r="D32" s="147"/>
      <c r="E32" s="147">
        <f t="shared" si="8"/>
        <v>860655</v>
      </c>
      <c r="F32" s="147"/>
      <c r="G32" s="147"/>
      <c r="H32" s="147"/>
      <c r="I32" s="147"/>
      <c r="J32" s="147"/>
      <c r="K32" s="147"/>
      <c r="L32" s="147"/>
      <c r="M32" s="147"/>
      <c r="N32" s="147"/>
      <c r="O32" s="147"/>
      <c r="P32" s="147"/>
      <c r="Q32" s="147"/>
      <c r="R32" s="516">
        <f t="shared" si="7"/>
        <v>860655</v>
      </c>
      <c r="S32" s="147">
        <f t="shared" si="9"/>
        <v>860655</v>
      </c>
      <c r="T32" s="147"/>
      <c r="U32" s="143"/>
    </row>
    <row r="33" spans="1:21" s="144" customFormat="1">
      <c r="A33" s="145" t="s">
        <v>138</v>
      </c>
      <c r="B33" s="146">
        <f t="shared" si="6"/>
        <v>860655</v>
      </c>
      <c r="C33" s="147">
        <f>C32</f>
        <v>860655</v>
      </c>
      <c r="D33" s="147"/>
      <c r="E33" s="147">
        <f t="shared" si="8"/>
        <v>860655</v>
      </c>
      <c r="F33" s="147"/>
      <c r="G33" s="147"/>
      <c r="H33" s="147"/>
      <c r="I33" s="147"/>
      <c r="J33" s="147"/>
      <c r="K33" s="147"/>
      <c r="L33" s="147"/>
      <c r="M33" s="147"/>
      <c r="N33" s="147"/>
      <c r="O33" s="147"/>
      <c r="P33" s="147"/>
      <c r="Q33" s="147"/>
      <c r="R33" s="516">
        <f t="shared" si="7"/>
        <v>860655</v>
      </c>
      <c r="S33" s="147">
        <f t="shared" si="9"/>
        <v>860655</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800965</v>
      </c>
      <c r="C35" s="147">
        <v>800965</v>
      </c>
      <c r="D35" s="147"/>
      <c r="E35" s="147">
        <f t="shared" si="8"/>
        <v>800965</v>
      </c>
      <c r="F35" s="147"/>
      <c r="G35" s="147"/>
      <c r="H35" s="147"/>
      <c r="I35" s="147"/>
      <c r="J35" s="147"/>
      <c r="K35" s="147"/>
      <c r="L35" s="147"/>
      <c r="M35" s="147"/>
      <c r="N35" s="147"/>
      <c r="O35" s="147"/>
      <c r="P35" s="147"/>
      <c r="Q35" s="147"/>
      <c r="R35" s="516">
        <f t="shared" si="7"/>
        <v>800965</v>
      </c>
      <c r="S35" s="147">
        <f t="shared" si="9"/>
        <v>800965</v>
      </c>
      <c r="T35" s="147"/>
      <c r="U35" s="143"/>
    </row>
    <row r="36" spans="1:21" s="144" customFormat="1">
      <c r="A36" s="283" t="s">
        <v>1640</v>
      </c>
      <c r="B36" s="146">
        <f t="shared" si="6"/>
        <v>100000</v>
      </c>
      <c r="C36" s="147">
        <v>100000</v>
      </c>
      <c r="D36" s="147"/>
      <c r="E36" s="147">
        <f t="shared" si="8"/>
        <v>100000</v>
      </c>
      <c r="F36" s="147"/>
      <c r="G36" s="147"/>
      <c r="H36" s="147"/>
      <c r="I36" s="147"/>
      <c r="J36" s="147"/>
      <c r="K36" s="147"/>
      <c r="L36" s="147"/>
      <c r="M36" s="147"/>
      <c r="N36" s="147"/>
      <c r="O36" s="147"/>
      <c r="P36" s="147"/>
      <c r="Q36" s="147"/>
      <c r="R36" s="516">
        <f t="shared" si="7"/>
        <v>100000</v>
      </c>
      <c r="S36" s="147">
        <f t="shared" si="9"/>
        <v>100000</v>
      </c>
      <c r="T36" s="147"/>
      <c r="U36" s="143"/>
    </row>
    <row r="37" spans="1:21" s="144" customFormat="1">
      <c r="A37" s="1149" t="s">
        <v>2737</v>
      </c>
      <c r="B37" s="146">
        <f t="shared" si="6"/>
        <v>370000</v>
      </c>
      <c r="C37" s="147">
        <v>370000</v>
      </c>
      <c r="D37" s="147"/>
      <c r="E37" s="147">
        <f t="shared" si="8"/>
        <v>370000</v>
      </c>
      <c r="F37" s="147"/>
      <c r="G37" s="147"/>
      <c r="H37" s="147"/>
      <c r="I37" s="147"/>
      <c r="J37" s="147"/>
      <c r="K37" s="147"/>
      <c r="L37" s="147"/>
      <c r="M37" s="147"/>
      <c r="N37" s="147"/>
      <c r="O37" s="147"/>
      <c r="P37" s="147"/>
      <c r="Q37" s="147"/>
      <c r="R37" s="516">
        <f t="shared" si="7"/>
        <v>370000</v>
      </c>
      <c r="S37" s="147">
        <f t="shared" si="9"/>
        <v>370000</v>
      </c>
      <c r="T37" s="147"/>
      <c r="U37" s="143"/>
    </row>
    <row r="38" spans="1:21" s="144" customFormat="1">
      <c r="A38" s="149" t="s">
        <v>143</v>
      </c>
      <c r="B38" s="146">
        <f t="shared" si="6"/>
        <v>52893363</v>
      </c>
      <c r="C38" s="146">
        <f>SUM(C29:C37)</f>
        <v>52893363</v>
      </c>
      <c r="D38" s="146">
        <f t="shared" ref="D38:Q38" si="10">SUM(D29:D37)</f>
        <v>0</v>
      </c>
      <c r="E38" s="146">
        <f t="shared" si="10"/>
        <v>9893363</v>
      </c>
      <c r="F38" s="146">
        <f t="shared" si="10"/>
        <v>11800000</v>
      </c>
      <c r="G38" s="146">
        <f t="shared" si="10"/>
        <v>1000000</v>
      </c>
      <c r="H38" s="146">
        <f t="shared" si="10"/>
        <v>8200000</v>
      </c>
      <c r="I38" s="146">
        <f t="shared" si="10"/>
        <v>2000000</v>
      </c>
      <c r="J38" s="146">
        <f t="shared" si="10"/>
        <v>20000000</v>
      </c>
      <c r="K38" s="146">
        <f t="shared" si="10"/>
        <v>0</v>
      </c>
      <c r="L38" s="146">
        <f t="shared" si="10"/>
        <v>0</v>
      </c>
      <c r="M38" s="146">
        <f t="shared" si="10"/>
        <v>0</v>
      </c>
      <c r="N38" s="146">
        <f t="shared" si="10"/>
        <v>0</v>
      </c>
      <c r="O38" s="146">
        <f t="shared" si="10"/>
        <v>0</v>
      </c>
      <c r="P38" s="146">
        <f t="shared" si="10"/>
        <v>0</v>
      </c>
      <c r="Q38" s="146">
        <f t="shared" si="10"/>
        <v>0</v>
      </c>
      <c r="R38" s="342">
        <f>SUM(R29:R37)</f>
        <v>52893363</v>
      </c>
      <c r="S38" s="150">
        <f>SUM(S29:S37)</f>
        <v>52893363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2088312</v>
      </c>
      <c r="C40" s="147">
        <f>2538312-C41</f>
        <v>2088312</v>
      </c>
      <c r="D40" s="147"/>
      <c r="E40" s="147">
        <f>C40</f>
        <v>2088312</v>
      </c>
      <c r="F40" s="147"/>
      <c r="G40" s="147"/>
      <c r="H40" s="147"/>
      <c r="I40" s="147"/>
      <c r="J40" s="147"/>
      <c r="K40" s="147"/>
      <c r="L40" s="147"/>
      <c r="M40" s="147"/>
      <c r="N40" s="147"/>
      <c r="O40" s="147"/>
      <c r="P40" s="147"/>
      <c r="Q40" s="147"/>
      <c r="R40" s="516">
        <f>SUM(E40:Q40)</f>
        <v>2088312</v>
      </c>
      <c r="S40" s="147">
        <f>R40</f>
        <v>2088312</v>
      </c>
      <c r="T40" s="147"/>
      <c r="U40" s="143"/>
    </row>
    <row r="41" spans="1:21" s="144" customFormat="1">
      <c r="A41" s="145" t="s">
        <v>146</v>
      </c>
      <c r="B41" s="146">
        <f>SUM(C41+D41)</f>
        <v>450000</v>
      </c>
      <c r="C41" s="147">
        <v>450000</v>
      </c>
      <c r="D41" s="147"/>
      <c r="E41" s="147">
        <f>C41</f>
        <v>450000</v>
      </c>
      <c r="F41" s="147"/>
      <c r="G41" s="147"/>
      <c r="H41" s="147"/>
      <c r="I41" s="147"/>
      <c r="J41" s="147"/>
      <c r="K41" s="147"/>
      <c r="L41" s="147"/>
      <c r="M41" s="147"/>
      <c r="N41" s="147"/>
      <c r="O41" s="147"/>
      <c r="P41" s="147"/>
      <c r="Q41" s="147"/>
      <c r="R41" s="516">
        <f>SUM(E41:Q41)</f>
        <v>450000</v>
      </c>
      <c r="S41" s="147">
        <f>R41</f>
        <v>450000</v>
      </c>
      <c r="T41" s="147"/>
      <c r="U41" s="143"/>
    </row>
    <row r="42" spans="1:21" s="144" customFormat="1">
      <c r="A42" s="149" t="s">
        <v>147</v>
      </c>
      <c r="B42" s="146">
        <f>SUM(C42:D42)</f>
        <v>2538312</v>
      </c>
      <c r="C42" s="146">
        <f>SUM(C39:C41)</f>
        <v>2538312</v>
      </c>
      <c r="D42" s="146">
        <f>SUM(D39:D41)</f>
        <v>0</v>
      </c>
      <c r="E42" s="146">
        <f t="shared" ref="E42:T42" si="11">SUM(E40:E41)</f>
        <v>2538312</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2538312</v>
      </c>
      <c r="S42" s="150">
        <f t="shared" si="11"/>
        <v>2538312</v>
      </c>
      <c r="T42" s="150">
        <f t="shared" si="11"/>
        <v>0</v>
      </c>
      <c r="U42" s="143"/>
    </row>
    <row r="43" spans="1:21" s="144" customFormat="1">
      <c r="A43" s="149" t="s">
        <v>148</v>
      </c>
      <c r="B43" s="146">
        <f>SUM(C43:D43)</f>
        <v>620000</v>
      </c>
      <c r="C43" s="147">
        <f>400000+220000</f>
        <v>620000</v>
      </c>
      <c r="D43" s="147"/>
      <c r="E43" s="147">
        <f>C43</f>
        <v>620000</v>
      </c>
      <c r="F43" s="147"/>
      <c r="G43" s="147"/>
      <c r="H43" s="147"/>
      <c r="I43" s="147"/>
      <c r="J43" s="147"/>
      <c r="K43" s="147"/>
      <c r="L43" s="147"/>
      <c r="M43" s="147"/>
      <c r="N43" s="147"/>
      <c r="O43" s="147"/>
      <c r="P43" s="147"/>
      <c r="Q43" s="147"/>
      <c r="R43" s="516">
        <f>SUM(E43:Q43)</f>
        <v>620000</v>
      </c>
      <c r="S43" s="147">
        <f>R43</f>
        <v>620000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4543019</v>
      </c>
      <c r="C45" s="147">
        <f>4543019</f>
        <v>4543019</v>
      </c>
      <c r="D45" s="147"/>
      <c r="E45" s="147">
        <f>C45</f>
        <v>4543019</v>
      </c>
      <c r="F45" s="147"/>
      <c r="G45" s="147"/>
      <c r="H45" s="147"/>
      <c r="I45" s="147"/>
      <c r="J45" s="147"/>
      <c r="K45" s="147"/>
      <c r="L45" s="147"/>
      <c r="M45" s="147"/>
      <c r="N45" s="147"/>
      <c r="O45" s="147"/>
      <c r="P45" s="147"/>
      <c r="Q45" s="147"/>
      <c r="R45" s="516">
        <f t="shared" ref="R45:R53" si="13">SUM(E45:Q45)</f>
        <v>4543019</v>
      </c>
      <c r="S45" s="147">
        <v>2042332</v>
      </c>
      <c r="T45" s="147"/>
      <c r="U45" s="143"/>
    </row>
    <row r="46" spans="1:21" s="144" customFormat="1">
      <c r="A46" s="145" t="s">
        <v>151</v>
      </c>
      <c r="B46" s="146">
        <f t="shared" si="12"/>
        <v>309679</v>
      </c>
      <c r="C46" s="147">
        <f>309679</f>
        <v>309679</v>
      </c>
      <c r="D46" s="147"/>
      <c r="E46" s="147">
        <f>C46</f>
        <v>309679</v>
      </c>
      <c r="F46" s="147"/>
      <c r="G46" s="147"/>
      <c r="H46" s="147"/>
      <c r="I46" s="147"/>
      <c r="J46" s="147"/>
      <c r="K46" s="147"/>
      <c r="L46" s="147"/>
      <c r="M46" s="147"/>
      <c r="N46" s="147"/>
      <c r="O46" s="147"/>
      <c r="P46" s="147"/>
      <c r="Q46" s="147"/>
      <c r="R46" s="516">
        <f t="shared" si="13"/>
        <v>309679</v>
      </c>
      <c r="S46" s="147">
        <v>139287</v>
      </c>
      <c r="T46" s="147"/>
      <c r="U46" s="143"/>
    </row>
    <row r="47" spans="1:21" s="144" customFormat="1">
      <c r="A47" s="186" t="s">
        <v>152</v>
      </c>
      <c r="B47" s="146">
        <f t="shared" si="12"/>
        <v>0</v>
      </c>
      <c r="C47" s="147"/>
      <c r="D47" s="147"/>
      <c r="E47" s="147">
        <f t="shared" ref="E47:E52" si="14">C47</f>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237335</v>
      </c>
      <c r="C49" s="147">
        <v>237335</v>
      </c>
      <c r="D49" s="147"/>
      <c r="E49" s="147">
        <f>C49</f>
        <v>237335</v>
      </c>
      <c r="F49" s="147"/>
      <c r="G49" s="147"/>
      <c r="H49" s="147"/>
      <c r="I49" s="147"/>
      <c r="J49" s="147"/>
      <c r="K49" s="147"/>
      <c r="L49" s="147"/>
      <c r="M49" s="147"/>
      <c r="N49" s="147"/>
      <c r="O49" s="147"/>
      <c r="P49" s="147"/>
      <c r="Q49" s="147"/>
      <c r="R49" s="516">
        <f t="shared" si="13"/>
        <v>237335</v>
      </c>
      <c r="S49" s="147">
        <v>106748</v>
      </c>
      <c r="T49" s="147"/>
      <c r="U49" s="143"/>
    </row>
    <row r="50" spans="1:21" s="144" customFormat="1">
      <c r="A50" s="145" t="s">
        <v>156</v>
      </c>
      <c r="B50" s="146">
        <f t="shared" si="12"/>
        <v>80000</v>
      </c>
      <c r="C50" s="147">
        <v>80000</v>
      </c>
      <c r="D50" s="147"/>
      <c r="E50" s="147">
        <f t="shared" si="14"/>
        <v>80000</v>
      </c>
      <c r="F50" s="147"/>
      <c r="G50" s="147"/>
      <c r="H50" s="147"/>
      <c r="I50" s="147"/>
      <c r="J50" s="147"/>
      <c r="K50" s="147"/>
      <c r="L50" s="147"/>
      <c r="M50" s="147"/>
      <c r="N50" s="147"/>
      <c r="O50" s="147"/>
      <c r="P50" s="147"/>
      <c r="Q50" s="147"/>
      <c r="R50" s="516">
        <f t="shared" si="13"/>
        <v>80000</v>
      </c>
      <c r="S50" s="147">
        <f>R50</f>
        <v>80000</v>
      </c>
      <c r="T50" s="147"/>
      <c r="U50" s="143"/>
    </row>
    <row r="51" spans="1:21" s="144" customFormat="1">
      <c r="A51" s="283" t="s">
        <v>154</v>
      </c>
      <c r="B51" s="146">
        <f t="shared" si="12"/>
        <v>38000</v>
      </c>
      <c r="C51" s="147">
        <v>38000</v>
      </c>
      <c r="D51" s="147"/>
      <c r="E51" s="147">
        <f t="shared" si="14"/>
        <v>38000</v>
      </c>
      <c r="F51" s="147"/>
      <c r="G51" s="147"/>
      <c r="H51" s="147"/>
      <c r="I51" s="147"/>
      <c r="J51" s="147"/>
      <c r="K51" s="147"/>
      <c r="L51" s="147"/>
      <c r="M51" s="147"/>
      <c r="N51" s="147"/>
      <c r="O51" s="147"/>
      <c r="P51" s="147"/>
      <c r="Q51" s="147"/>
      <c r="R51" s="516">
        <f t="shared" si="13"/>
        <v>38000</v>
      </c>
      <c r="S51" s="147">
        <f>R51</f>
        <v>38000</v>
      </c>
      <c r="T51" s="147"/>
      <c r="U51" s="143"/>
    </row>
    <row r="52" spans="1:21" s="144" customFormat="1">
      <c r="A52" s="145" t="s">
        <v>155</v>
      </c>
      <c r="B52" s="146">
        <f t="shared" si="12"/>
        <v>600000</v>
      </c>
      <c r="C52" s="147">
        <v>600000</v>
      </c>
      <c r="D52" s="147"/>
      <c r="E52" s="147">
        <f t="shared" si="14"/>
        <v>600000</v>
      </c>
      <c r="F52" s="147"/>
      <c r="G52" s="147"/>
      <c r="H52" s="147"/>
      <c r="I52" s="147"/>
      <c r="J52" s="147"/>
      <c r="K52" s="147"/>
      <c r="L52" s="147"/>
      <c r="M52" s="147"/>
      <c r="N52" s="147"/>
      <c r="O52" s="147"/>
      <c r="P52" s="147"/>
      <c r="Q52" s="147"/>
      <c r="R52" s="516">
        <f t="shared" si="13"/>
        <v>600000</v>
      </c>
      <c r="S52" s="147">
        <f>R52</f>
        <v>600000</v>
      </c>
      <c r="T52" s="147"/>
      <c r="U52" s="143"/>
    </row>
    <row r="53" spans="1:21" s="144" customFormat="1">
      <c r="A53" s="1149" t="s">
        <v>2744</v>
      </c>
      <c r="B53" s="146">
        <f t="shared" si="12"/>
        <v>35000</v>
      </c>
      <c r="C53" s="147">
        <f>E53</f>
        <v>35000</v>
      </c>
      <c r="D53" s="147"/>
      <c r="E53" s="147">
        <v>35000</v>
      </c>
      <c r="F53" s="147"/>
      <c r="G53" s="147"/>
      <c r="H53" s="147"/>
      <c r="I53" s="147"/>
      <c r="J53" s="147"/>
      <c r="K53" s="147"/>
      <c r="L53" s="147"/>
      <c r="M53" s="147"/>
      <c r="N53" s="147"/>
      <c r="O53" s="147"/>
      <c r="P53" s="147"/>
      <c r="Q53" s="147"/>
      <c r="R53" s="516">
        <f t="shared" si="13"/>
        <v>35000</v>
      </c>
      <c r="S53" s="147">
        <v>15742</v>
      </c>
      <c r="T53" s="147"/>
      <c r="U53" s="143"/>
    </row>
    <row r="54" spans="1:21" s="153" customFormat="1">
      <c r="A54" s="149" t="s">
        <v>157</v>
      </c>
      <c r="B54" s="150">
        <f>SUM(C54:D54)</f>
        <v>5843033</v>
      </c>
      <c r="C54" s="150">
        <f t="shared" ref="C54:T54" si="15">SUM(C45:C53)</f>
        <v>5843033</v>
      </c>
      <c r="D54" s="150">
        <f t="shared" si="15"/>
        <v>0</v>
      </c>
      <c r="E54" s="150">
        <f t="shared" si="15"/>
        <v>5843033</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5843033</v>
      </c>
      <c r="S54" s="150">
        <f t="shared" si="15"/>
        <v>3022109</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15000</v>
      </c>
      <c r="C58" s="147">
        <v>15000</v>
      </c>
      <c r="D58" s="147"/>
      <c r="E58" s="147">
        <f>C58</f>
        <v>15000</v>
      </c>
      <c r="F58" s="147"/>
      <c r="G58" s="147"/>
      <c r="H58" s="147"/>
      <c r="I58" s="147"/>
      <c r="J58" s="147"/>
      <c r="K58" s="147"/>
      <c r="L58" s="147"/>
      <c r="M58" s="147"/>
      <c r="N58" s="147"/>
      <c r="O58" s="147"/>
      <c r="P58" s="147"/>
      <c r="Q58" s="147"/>
      <c r="R58" s="516">
        <f t="shared" si="17"/>
        <v>15000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300</v>
      </c>
      <c r="B62" s="146">
        <f>SUM(C62:D62)</f>
        <v>15000</v>
      </c>
      <c r="C62" s="146">
        <f t="shared" ref="C62:R62" si="18">SUM(C56:C61)</f>
        <v>15000</v>
      </c>
      <c r="D62" s="146">
        <f t="shared" si="18"/>
        <v>0</v>
      </c>
      <c r="E62" s="146">
        <f t="shared" si="18"/>
        <v>15000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15000</v>
      </c>
      <c r="S62" s="148"/>
      <c r="T62" s="148"/>
      <c r="U62" s="143"/>
    </row>
    <row r="63" spans="1:21" s="144" customFormat="1">
      <c r="A63" s="154" t="s">
        <v>301</v>
      </c>
      <c r="B63" s="146">
        <f t="shared" ref="B63:R63" si="19">SUM(B8+B11+B13+B14+B15+B26+B27+B38+B42+B43+B54+B62)</f>
        <v>63984708</v>
      </c>
      <c r="C63" s="146">
        <f t="shared" si="19"/>
        <v>63984708</v>
      </c>
      <c r="D63" s="146">
        <f t="shared" si="19"/>
        <v>0</v>
      </c>
      <c r="E63" s="146">
        <f t="shared" si="19"/>
        <v>18984708</v>
      </c>
      <c r="F63" s="146">
        <f t="shared" si="19"/>
        <v>11800000</v>
      </c>
      <c r="G63" s="146">
        <f t="shared" si="19"/>
        <v>1000000</v>
      </c>
      <c r="H63" s="146">
        <f t="shared" si="19"/>
        <v>8200000</v>
      </c>
      <c r="I63" s="146">
        <f t="shared" si="19"/>
        <v>2000000</v>
      </c>
      <c r="J63" s="146">
        <f t="shared" si="19"/>
        <v>20000000</v>
      </c>
      <c r="K63" s="146">
        <f t="shared" si="19"/>
        <v>0</v>
      </c>
      <c r="L63" s="146">
        <f t="shared" si="19"/>
        <v>2000000</v>
      </c>
      <c r="M63" s="146">
        <f t="shared" si="19"/>
        <v>0</v>
      </c>
      <c r="N63" s="146">
        <f t="shared" si="19"/>
        <v>0</v>
      </c>
      <c r="O63" s="146">
        <f t="shared" si="19"/>
        <v>0</v>
      </c>
      <c r="P63" s="146">
        <f t="shared" si="19"/>
        <v>0</v>
      </c>
      <c r="Q63" s="146">
        <f t="shared" si="19"/>
        <v>0</v>
      </c>
      <c r="R63" s="342">
        <f t="shared" si="19"/>
        <v>63984708</v>
      </c>
      <c r="S63" s="146">
        <f>SUM(S10+S13+S14+S15+S26+S27+S38+S42+S43+S54)</f>
        <v>59123784</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65000</v>
      </c>
      <c r="C65" s="147">
        <v>65000</v>
      </c>
      <c r="D65" s="147"/>
      <c r="E65" s="147">
        <f>C65</f>
        <v>65000</v>
      </c>
      <c r="F65" s="147"/>
      <c r="G65" s="147"/>
      <c r="H65" s="147"/>
      <c r="I65" s="147"/>
      <c r="J65" s="147"/>
      <c r="K65" s="147"/>
      <c r="L65" s="147"/>
      <c r="M65" s="147"/>
      <c r="N65" s="147"/>
      <c r="O65" s="147"/>
      <c r="P65" s="147"/>
      <c r="Q65" s="147"/>
      <c r="R65" s="516">
        <f>SUM(E65:Q65)</f>
        <v>65000</v>
      </c>
      <c r="S65" s="147">
        <v>29236</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2742</v>
      </c>
      <c r="B69" s="146">
        <f>SUM(C69+D69)</f>
        <v>55000</v>
      </c>
      <c r="C69" s="147">
        <v>55000</v>
      </c>
      <c r="D69" s="147"/>
      <c r="E69" s="147">
        <f>C69</f>
        <v>55000</v>
      </c>
      <c r="F69" s="147"/>
      <c r="G69" s="147"/>
      <c r="H69" s="147"/>
      <c r="I69" s="147"/>
      <c r="J69" s="147"/>
      <c r="K69" s="147"/>
      <c r="L69" s="147"/>
      <c r="M69" s="147"/>
      <c r="N69" s="147"/>
      <c r="O69" s="147"/>
      <c r="P69" s="147"/>
      <c r="Q69" s="147"/>
      <c r="R69" s="516">
        <f>SUM(E69:Q69)</f>
        <v>55000</v>
      </c>
      <c r="S69" s="147">
        <v>40000</v>
      </c>
      <c r="T69" s="147"/>
      <c r="U69" s="143"/>
    </row>
    <row r="70" spans="1:21" s="144" customFormat="1">
      <c r="A70" s="149" t="s">
        <v>1645</v>
      </c>
      <c r="B70" s="146">
        <f>SUM(C70:D70)</f>
        <v>120000</v>
      </c>
      <c r="C70" s="146">
        <f>SUM(C65:C69)</f>
        <v>120000</v>
      </c>
      <c r="D70" s="146">
        <f>SUM(D65:D69)</f>
        <v>0</v>
      </c>
      <c r="E70" s="146">
        <f t="shared" ref="E70:T70" si="20">SUM(E65:E69)</f>
        <v>120000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120000</v>
      </c>
      <c r="S70" s="150">
        <f t="shared" si="20"/>
        <v>69236</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611993</v>
      </c>
      <c r="C75" s="147">
        <v>611993</v>
      </c>
      <c r="D75" s="147"/>
      <c r="E75" s="147">
        <f>C75</f>
        <v>611993</v>
      </c>
      <c r="F75" s="147"/>
      <c r="G75" s="147"/>
      <c r="H75" s="147"/>
      <c r="I75" s="147"/>
      <c r="J75" s="147"/>
      <c r="K75" s="147"/>
      <c r="L75" s="147"/>
      <c r="M75" s="147"/>
      <c r="N75" s="147"/>
      <c r="O75" s="147"/>
      <c r="P75" s="147"/>
      <c r="Q75" s="147"/>
      <c r="R75" s="516">
        <f>SUM(E75:Q75)</f>
        <v>611993</v>
      </c>
      <c r="S75" s="148"/>
      <c r="T75" s="148"/>
      <c r="U75" s="143"/>
    </row>
    <row r="76" spans="1:21" s="144" customFormat="1">
      <c r="A76" s="1149" t="s">
        <v>2738</v>
      </c>
      <c r="B76" s="146">
        <f>SUM(C76+D76)</f>
        <v>1868884</v>
      </c>
      <c r="C76" s="147">
        <f>10000+112500+375000+1371384</f>
        <v>1868884</v>
      </c>
      <c r="D76" s="147"/>
      <c r="E76" s="147">
        <f>C76</f>
        <v>1868884</v>
      </c>
      <c r="F76" s="147"/>
      <c r="G76" s="147"/>
      <c r="H76" s="147"/>
      <c r="I76" s="147"/>
      <c r="J76" s="147"/>
      <c r="K76" s="147"/>
      <c r="L76" s="147"/>
      <c r="M76" s="147"/>
      <c r="N76" s="147"/>
      <c r="O76" s="147"/>
      <c r="P76" s="147"/>
      <c r="Q76" s="147"/>
      <c r="R76" s="516">
        <f>SUM(E76:Q76)</f>
        <v>1868884</v>
      </c>
      <c r="S76" s="148"/>
      <c r="T76" s="148"/>
      <c r="U76" s="143"/>
    </row>
    <row r="77" spans="1:21" s="144" customFormat="1">
      <c r="A77" s="149" t="s">
        <v>606</v>
      </c>
      <c r="B77" s="146">
        <f>SUM(C77:D77)</f>
        <v>2480877</v>
      </c>
      <c r="C77" s="146">
        <f>SUM(C72:C76)</f>
        <v>2480877</v>
      </c>
      <c r="D77" s="146">
        <f>SUM(D72:D76)</f>
        <v>0</v>
      </c>
      <c r="E77" s="146">
        <f t="shared" ref="E77:Q77" si="21">SUM(E72:E76)</f>
        <v>2480877</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2480877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4183183</v>
      </c>
      <c r="C79" s="147">
        <v>4183183</v>
      </c>
      <c r="D79" s="147"/>
      <c r="E79" s="147">
        <f>C79</f>
        <v>4183183</v>
      </c>
      <c r="F79" s="147"/>
      <c r="G79" s="147"/>
      <c r="H79" s="147"/>
      <c r="I79" s="147"/>
      <c r="J79" s="147"/>
      <c r="K79" s="147"/>
      <c r="L79" s="147"/>
      <c r="M79" s="147"/>
      <c r="N79" s="147"/>
      <c r="O79" s="147"/>
      <c r="P79" s="147"/>
      <c r="Q79" s="147"/>
      <c r="R79" s="516">
        <f>SUM(E79:Q79)</f>
        <v>4183183</v>
      </c>
      <c r="S79" s="147">
        <f>R79</f>
        <v>4183183</v>
      </c>
      <c r="T79" s="147"/>
      <c r="U79" s="143"/>
    </row>
    <row r="80" spans="1:21" s="144" customFormat="1">
      <c r="A80" s="283" t="s">
        <v>58</v>
      </c>
      <c r="B80" s="146">
        <f>SUM(C80:D80)</f>
        <v>524977</v>
      </c>
      <c r="C80" s="147">
        <f>E80</f>
        <v>524977</v>
      </c>
      <c r="D80" s="147"/>
      <c r="E80" s="147">
        <v>524977</v>
      </c>
      <c r="F80" s="147"/>
      <c r="G80" s="147"/>
      <c r="H80" s="147"/>
      <c r="I80" s="147"/>
      <c r="J80" s="147"/>
      <c r="K80" s="147"/>
      <c r="L80" s="147"/>
      <c r="M80" s="147"/>
      <c r="N80" s="147"/>
      <c r="O80" s="147"/>
      <c r="P80" s="147"/>
      <c r="Q80" s="147"/>
      <c r="R80" s="516">
        <f>SUM(E80:Q80)</f>
        <v>524977</v>
      </c>
      <c r="S80" s="147">
        <f>R80</f>
        <v>524977</v>
      </c>
      <c r="T80" s="147"/>
      <c r="U80" s="143"/>
    </row>
    <row r="81" spans="1:21" s="144" customFormat="1">
      <c r="A81" s="149" t="s">
        <v>1209</v>
      </c>
      <c r="B81" s="146">
        <f>SUM(C81:D81)</f>
        <v>4708160</v>
      </c>
      <c r="C81" s="509">
        <f>SUM(C79:C80)</f>
        <v>4708160</v>
      </c>
      <c r="D81" s="509">
        <f t="shared" ref="D81:T81" si="22">SUM(D79:D80)</f>
        <v>0</v>
      </c>
      <c r="E81" s="509">
        <f t="shared" si="22"/>
        <v>4708160</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4708160</v>
      </c>
      <c r="S81" s="509">
        <f t="shared" si="22"/>
        <v>4708160</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3">SUM(C83+D83)</f>
        <v>107743</v>
      </c>
      <c r="C83" s="147">
        <v>107743</v>
      </c>
      <c r="D83" s="147"/>
      <c r="E83" s="147">
        <f>C83</f>
        <v>107743</v>
      </c>
      <c r="F83" s="147"/>
      <c r="G83" s="147"/>
      <c r="H83" s="147"/>
      <c r="I83" s="147"/>
      <c r="J83" s="147"/>
      <c r="K83" s="147"/>
      <c r="L83" s="147"/>
      <c r="M83" s="147"/>
      <c r="N83" s="147"/>
      <c r="O83" s="147"/>
      <c r="P83" s="147"/>
      <c r="Q83" s="147"/>
      <c r="R83" s="516">
        <f t="shared" ref="R83:R95" si="24">SUM(E83:Q83)</f>
        <v>107743</v>
      </c>
      <c r="S83" s="148"/>
      <c r="T83" s="148"/>
      <c r="U83" s="143"/>
    </row>
    <row r="84" spans="1:21" s="144" customFormat="1">
      <c r="A84" s="145" t="s">
        <v>767</v>
      </c>
      <c r="B84" s="146">
        <f t="shared" si="23"/>
        <v>50000</v>
      </c>
      <c r="C84" s="147">
        <v>50000</v>
      </c>
      <c r="D84" s="147"/>
      <c r="E84" s="147">
        <f t="shared" ref="E84:E95" si="25">C84</f>
        <v>50000</v>
      </c>
      <c r="F84" s="147"/>
      <c r="G84" s="147"/>
      <c r="H84" s="147"/>
      <c r="I84" s="147"/>
      <c r="J84" s="147"/>
      <c r="K84" s="147"/>
      <c r="L84" s="147"/>
      <c r="M84" s="147"/>
      <c r="N84" s="147"/>
      <c r="O84" s="147"/>
      <c r="P84" s="147"/>
      <c r="Q84" s="147"/>
      <c r="R84" s="516">
        <f t="shared" si="24"/>
        <v>50000</v>
      </c>
      <c r="S84" s="147">
        <f>R84</f>
        <v>50000</v>
      </c>
      <c r="T84" s="147"/>
      <c r="U84" s="143"/>
    </row>
    <row r="85" spans="1:21" s="144" customFormat="1">
      <c r="A85" s="145" t="s">
        <v>768</v>
      </c>
      <c r="B85" s="146">
        <f t="shared" si="23"/>
        <v>470930</v>
      </c>
      <c r="C85" s="147">
        <v>470930</v>
      </c>
      <c r="D85" s="147"/>
      <c r="E85" s="147">
        <f t="shared" si="25"/>
        <v>470930</v>
      </c>
      <c r="F85" s="147"/>
      <c r="G85" s="147"/>
      <c r="H85" s="147"/>
      <c r="I85" s="147"/>
      <c r="J85" s="147"/>
      <c r="K85" s="147"/>
      <c r="L85" s="147"/>
      <c r="M85" s="147"/>
      <c r="N85" s="147"/>
      <c r="O85" s="147"/>
      <c r="P85" s="147"/>
      <c r="Q85" s="147"/>
      <c r="R85" s="516">
        <f t="shared" si="24"/>
        <v>470930</v>
      </c>
      <c r="S85" s="147">
        <f>R85</f>
        <v>470930</v>
      </c>
      <c r="T85" s="147"/>
      <c r="U85" s="143"/>
    </row>
    <row r="86" spans="1:21" s="144" customFormat="1">
      <c r="A86" s="145" t="s">
        <v>769</v>
      </c>
      <c r="B86" s="146">
        <f t="shared" si="23"/>
        <v>1258930</v>
      </c>
      <c r="C86" s="147">
        <v>1258930</v>
      </c>
      <c r="D86" s="147"/>
      <c r="E86" s="147">
        <f t="shared" si="25"/>
        <v>1258930</v>
      </c>
      <c r="F86" s="147"/>
      <c r="G86" s="147"/>
      <c r="H86" s="147"/>
      <c r="I86" s="147"/>
      <c r="J86" s="147"/>
      <c r="K86" s="147"/>
      <c r="L86" s="147"/>
      <c r="M86" s="147"/>
      <c r="N86" s="147"/>
      <c r="O86" s="147"/>
      <c r="P86" s="147"/>
      <c r="Q86" s="147"/>
      <c r="R86" s="516">
        <f t="shared" si="24"/>
        <v>1258930</v>
      </c>
      <c r="S86" s="147">
        <f>R86</f>
        <v>1258930</v>
      </c>
      <c r="T86" s="147"/>
      <c r="U86" s="143"/>
    </row>
    <row r="87" spans="1:21" s="144" customFormat="1">
      <c r="A87" s="145" t="s">
        <v>770</v>
      </c>
      <c r="B87" s="146">
        <f t="shared" si="23"/>
        <v>0</v>
      </c>
      <c r="C87" s="147"/>
      <c r="D87" s="147"/>
      <c r="E87" s="147">
        <f t="shared" si="25"/>
        <v>0</v>
      </c>
      <c r="F87" s="147"/>
      <c r="G87" s="147"/>
      <c r="H87" s="147"/>
      <c r="I87" s="147"/>
      <c r="J87" s="147"/>
      <c r="K87" s="147"/>
      <c r="L87" s="147"/>
      <c r="M87" s="147"/>
      <c r="N87" s="147"/>
      <c r="O87" s="147"/>
      <c r="P87" s="147"/>
      <c r="Q87" s="147"/>
      <c r="R87" s="516">
        <f t="shared" si="24"/>
        <v>0</v>
      </c>
      <c r="S87" s="147"/>
      <c r="T87" s="147"/>
      <c r="U87" s="143"/>
    </row>
    <row r="88" spans="1:21" s="144" customFormat="1">
      <c r="A88" s="145" t="s">
        <v>771</v>
      </c>
      <c r="B88" s="146">
        <f t="shared" si="23"/>
        <v>450000</v>
      </c>
      <c r="C88" s="147">
        <v>450000</v>
      </c>
      <c r="D88" s="147"/>
      <c r="E88" s="147">
        <f t="shared" si="25"/>
        <v>450000</v>
      </c>
      <c r="F88" s="147"/>
      <c r="G88" s="147"/>
      <c r="H88" s="147"/>
      <c r="I88" s="147"/>
      <c r="J88" s="147"/>
      <c r="K88" s="147"/>
      <c r="L88" s="147"/>
      <c r="M88" s="147"/>
      <c r="N88" s="147"/>
      <c r="O88" s="147"/>
      <c r="P88" s="147"/>
      <c r="Q88" s="147"/>
      <c r="R88" s="516">
        <f t="shared" si="24"/>
        <v>450000</v>
      </c>
      <c r="S88" s="148"/>
      <c r="T88" s="148"/>
      <c r="U88" s="143"/>
    </row>
    <row r="89" spans="1:21" s="144" customFormat="1">
      <c r="A89" s="145" t="s">
        <v>772</v>
      </c>
      <c r="B89" s="146">
        <f t="shared" si="23"/>
        <v>150000</v>
      </c>
      <c r="C89" s="147">
        <v>150000</v>
      </c>
      <c r="D89" s="147"/>
      <c r="E89" s="147">
        <f t="shared" si="25"/>
        <v>150000</v>
      </c>
      <c r="F89" s="147"/>
      <c r="G89" s="147"/>
      <c r="H89" s="147"/>
      <c r="I89" s="147"/>
      <c r="J89" s="147"/>
      <c r="K89" s="147"/>
      <c r="L89" s="147"/>
      <c r="M89" s="147"/>
      <c r="N89" s="147"/>
      <c r="O89" s="147"/>
      <c r="P89" s="147"/>
      <c r="Q89" s="147"/>
      <c r="R89" s="516">
        <f t="shared" si="24"/>
        <v>150000</v>
      </c>
      <c r="S89" s="147">
        <f>R89</f>
        <v>150000</v>
      </c>
      <c r="T89" s="147"/>
      <c r="U89" s="143"/>
    </row>
    <row r="90" spans="1:21" s="144" customFormat="1">
      <c r="A90" s="145" t="s">
        <v>773</v>
      </c>
      <c r="B90" s="146">
        <f t="shared" si="23"/>
        <v>16000</v>
      </c>
      <c r="C90" s="147">
        <v>16000</v>
      </c>
      <c r="D90" s="147"/>
      <c r="E90" s="147">
        <f t="shared" si="25"/>
        <v>16000</v>
      </c>
      <c r="F90" s="147"/>
      <c r="G90" s="147"/>
      <c r="H90" s="147"/>
      <c r="I90" s="147"/>
      <c r="J90" s="147"/>
      <c r="K90" s="147"/>
      <c r="L90" s="147"/>
      <c r="M90" s="147"/>
      <c r="N90" s="147"/>
      <c r="O90" s="147"/>
      <c r="P90" s="147"/>
      <c r="Q90" s="147"/>
      <c r="R90" s="516">
        <f t="shared" si="24"/>
        <v>16000</v>
      </c>
      <c r="S90" s="147"/>
      <c r="T90" s="147"/>
      <c r="U90" s="143"/>
    </row>
    <row r="91" spans="1:21" s="144" customFormat="1">
      <c r="A91" s="145" t="s">
        <v>371</v>
      </c>
      <c r="B91" s="146">
        <f t="shared" si="23"/>
        <v>0</v>
      </c>
      <c r="C91" s="147"/>
      <c r="D91" s="147"/>
      <c r="E91" s="147">
        <f t="shared" si="25"/>
        <v>0</v>
      </c>
      <c r="F91" s="147"/>
      <c r="G91" s="147"/>
      <c r="H91" s="147"/>
      <c r="I91" s="147"/>
      <c r="J91" s="147"/>
      <c r="K91" s="147"/>
      <c r="L91" s="147"/>
      <c r="M91" s="147"/>
      <c r="N91" s="147"/>
      <c r="O91" s="147"/>
      <c r="P91" s="147"/>
      <c r="Q91" s="147"/>
      <c r="R91" s="516">
        <f t="shared" si="24"/>
        <v>0</v>
      </c>
      <c r="S91" s="147"/>
      <c r="T91" s="147"/>
      <c r="U91" s="143"/>
    </row>
    <row r="92" spans="1:21" s="144" customFormat="1">
      <c r="A92" s="283" t="s">
        <v>1211</v>
      </c>
      <c r="B92" s="146">
        <f t="shared" si="23"/>
        <v>15000</v>
      </c>
      <c r="C92" s="147">
        <v>15000</v>
      </c>
      <c r="D92" s="147"/>
      <c r="E92" s="147">
        <f t="shared" si="25"/>
        <v>15000</v>
      </c>
      <c r="F92" s="147"/>
      <c r="G92" s="147"/>
      <c r="H92" s="147"/>
      <c r="I92" s="147"/>
      <c r="J92" s="147"/>
      <c r="K92" s="147"/>
      <c r="L92" s="147"/>
      <c r="M92" s="147"/>
      <c r="N92" s="147"/>
      <c r="O92" s="147"/>
      <c r="P92" s="147"/>
      <c r="Q92" s="147"/>
      <c r="R92" s="516">
        <f t="shared" si="24"/>
        <v>15000</v>
      </c>
      <c r="S92" s="147">
        <f>R92</f>
        <v>15000</v>
      </c>
      <c r="T92" s="147"/>
      <c r="U92" s="143"/>
    </row>
    <row r="93" spans="1:21" s="144" customFormat="1">
      <c r="A93" s="1149" t="s">
        <v>2739</v>
      </c>
      <c r="B93" s="146">
        <f t="shared" si="23"/>
        <v>40000</v>
      </c>
      <c r="C93" s="147">
        <v>40000</v>
      </c>
      <c r="D93" s="147"/>
      <c r="E93" s="147">
        <f t="shared" si="25"/>
        <v>40000</v>
      </c>
      <c r="F93" s="147"/>
      <c r="G93" s="147"/>
      <c r="H93" s="147"/>
      <c r="I93" s="147"/>
      <c r="J93" s="147"/>
      <c r="K93" s="147"/>
      <c r="L93" s="147"/>
      <c r="M93" s="147"/>
      <c r="N93" s="147"/>
      <c r="O93" s="147"/>
      <c r="P93" s="147"/>
      <c r="Q93" s="147"/>
      <c r="R93" s="516">
        <f t="shared" si="24"/>
        <v>40000</v>
      </c>
      <c r="S93" s="147">
        <f>R93</f>
        <v>40000</v>
      </c>
      <c r="T93" s="147"/>
      <c r="U93" s="143"/>
    </row>
    <row r="94" spans="1:21" s="144" customFormat="1">
      <c r="A94" s="1149" t="s">
        <v>2740</v>
      </c>
      <c r="B94" s="146">
        <f t="shared" si="23"/>
        <v>750000</v>
      </c>
      <c r="C94" s="147">
        <v>750000</v>
      </c>
      <c r="D94" s="147"/>
      <c r="E94" s="147">
        <f t="shared" si="25"/>
        <v>750000</v>
      </c>
      <c r="F94" s="147"/>
      <c r="G94" s="147"/>
      <c r="H94" s="147"/>
      <c r="I94" s="147"/>
      <c r="J94" s="147"/>
      <c r="K94" s="147"/>
      <c r="L94" s="147"/>
      <c r="M94" s="147"/>
      <c r="N94" s="147"/>
      <c r="O94" s="147"/>
      <c r="P94" s="147"/>
      <c r="Q94" s="147"/>
      <c r="R94" s="516">
        <f t="shared" si="24"/>
        <v>750000</v>
      </c>
      <c r="S94" s="147">
        <f>R94</f>
        <v>750000</v>
      </c>
      <c r="T94" s="147"/>
      <c r="U94" s="143"/>
    </row>
    <row r="95" spans="1:21" s="144" customFormat="1">
      <c r="A95" s="1149" t="s">
        <v>2741</v>
      </c>
      <c r="B95" s="146">
        <f t="shared" si="23"/>
        <v>100000</v>
      </c>
      <c r="C95" s="147">
        <v>100000</v>
      </c>
      <c r="D95" s="147"/>
      <c r="E95" s="147">
        <f t="shared" si="25"/>
        <v>100000</v>
      </c>
      <c r="F95" s="147"/>
      <c r="G95" s="147"/>
      <c r="H95" s="147"/>
      <c r="I95" s="147"/>
      <c r="J95" s="147"/>
      <c r="K95" s="147"/>
      <c r="L95" s="147"/>
      <c r="M95" s="147"/>
      <c r="N95" s="147"/>
      <c r="O95" s="147"/>
      <c r="P95" s="147"/>
      <c r="Q95" s="147"/>
      <c r="R95" s="516">
        <f t="shared" si="24"/>
        <v>100000</v>
      </c>
      <c r="S95" s="147">
        <f>R95</f>
        <v>100000</v>
      </c>
      <c r="T95" s="147"/>
      <c r="U95" s="143"/>
    </row>
    <row r="96" spans="1:21" s="144" customFormat="1">
      <c r="A96" s="149" t="s">
        <v>774</v>
      </c>
      <c r="B96" s="146">
        <f>SUM(C96:D96)</f>
        <v>3408603</v>
      </c>
      <c r="C96" s="146">
        <f t="shared" ref="C96:R96" si="26">SUM(C83:C95)</f>
        <v>3408603</v>
      </c>
      <c r="D96" s="146">
        <f t="shared" si="26"/>
        <v>0</v>
      </c>
      <c r="E96" s="146">
        <f t="shared" si="26"/>
        <v>3408603</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3408603</v>
      </c>
      <c r="S96" s="150">
        <f>SUM(S84:S87,S89:S95)</f>
        <v>2834860</v>
      </c>
      <c r="T96" s="146">
        <f>SUM(T84:T87,T89:T95)</f>
        <v>0</v>
      </c>
      <c r="U96" s="143"/>
    </row>
    <row r="97" spans="1:21" s="144" customFormat="1">
      <c r="A97" s="149" t="s">
        <v>775</v>
      </c>
      <c r="B97" s="146">
        <f>SUM(C97:D97)</f>
        <v>74702348</v>
      </c>
      <c r="C97" s="146">
        <f t="shared" ref="C97:R97" si="27">SUM(C63+C70+C77+C81+C96)</f>
        <v>74702348</v>
      </c>
      <c r="D97" s="146">
        <f t="shared" si="27"/>
        <v>0</v>
      </c>
      <c r="E97" s="146">
        <f t="shared" si="27"/>
        <v>29702348</v>
      </c>
      <c r="F97" s="146">
        <f t="shared" si="27"/>
        <v>11800000</v>
      </c>
      <c r="G97" s="146">
        <f t="shared" si="27"/>
        <v>1000000</v>
      </c>
      <c r="H97" s="146">
        <f t="shared" si="27"/>
        <v>8200000</v>
      </c>
      <c r="I97" s="146">
        <f t="shared" si="27"/>
        <v>2000000</v>
      </c>
      <c r="J97" s="146">
        <f t="shared" si="27"/>
        <v>20000000</v>
      </c>
      <c r="K97" s="146">
        <f t="shared" si="27"/>
        <v>0</v>
      </c>
      <c r="L97" s="146">
        <f t="shared" si="27"/>
        <v>2000000</v>
      </c>
      <c r="M97" s="146">
        <f t="shared" si="27"/>
        <v>0</v>
      </c>
      <c r="N97" s="146">
        <f t="shared" si="27"/>
        <v>0</v>
      </c>
      <c r="O97" s="146">
        <f t="shared" si="27"/>
        <v>0</v>
      </c>
      <c r="P97" s="146">
        <f t="shared" si="27"/>
        <v>0</v>
      </c>
      <c r="Q97" s="146">
        <f t="shared" si="27"/>
        <v>0</v>
      </c>
      <c r="R97" s="146">
        <f t="shared" si="27"/>
        <v>74702348</v>
      </c>
      <c r="S97" s="146">
        <f>SUM(S63+S70+S81+S96)</f>
        <v>66736040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7000000</v>
      </c>
      <c r="C99" s="979">
        <v>7000000</v>
      </c>
      <c r="D99" s="979"/>
      <c r="E99" s="979">
        <f>C99-K99</f>
        <v>3500000</v>
      </c>
      <c r="F99" s="147"/>
      <c r="G99" s="147"/>
      <c r="H99" s="147"/>
      <c r="I99" s="147"/>
      <c r="J99" s="147"/>
      <c r="K99" s="147">
        <f>3500000</f>
        <v>3500000</v>
      </c>
      <c r="L99" s="147"/>
      <c r="M99" s="147"/>
      <c r="N99" s="147"/>
      <c r="O99" s="147"/>
      <c r="P99" s="147"/>
      <c r="Q99" s="147"/>
      <c r="R99" s="516">
        <f>SUM(E99:Q99)</f>
        <v>7000000</v>
      </c>
      <c r="S99" s="147">
        <f>R99</f>
        <v>7000000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7000000</v>
      </c>
      <c r="C104" s="146">
        <f>SUM(C99:C103)</f>
        <v>7000000</v>
      </c>
      <c r="D104" s="146">
        <f t="shared" ref="D104:T104" si="28">SUM(D99:D103)</f>
        <v>0</v>
      </c>
      <c r="E104" s="146">
        <f t="shared" si="28"/>
        <v>3500000</v>
      </c>
      <c r="F104" s="146">
        <f t="shared" si="28"/>
        <v>0</v>
      </c>
      <c r="G104" s="146">
        <f t="shared" si="28"/>
        <v>0</v>
      </c>
      <c r="H104" s="146">
        <f t="shared" si="28"/>
        <v>0</v>
      </c>
      <c r="I104" s="146">
        <f t="shared" si="28"/>
        <v>0</v>
      </c>
      <c r="J104" s="146">
        <f t="shared" si="28"/>
        <v>0</v>
      </c>
      <c r="K104" s="146">
        <f t="shared" si="28"/>
        <v>3500000</v>
      </c>
      <c r="L104" s="146">
        <f t="shared" si="28"/>
        <v>0</v>
      </c>
      <c r="M104" s="146">
        <f t="shared" si="28"/>
        <v>0</v>
      </c>
      <c r="N104" s="146">
        <f t="shared" si="28"/>
        <v>0</v>
      </c>
      <c r="O104" s="146">
        <f t="shared" si="28"/>
        <v>0</v>
      </c>
      <c r="P104" s="146">
        <f t="shared" si="28"/>
        <v>0</v>
      </c>
      <c r="Q104" s="146">
        <f t="shared" si="28"/>
        <v>0</v>
      </c>
      <c r="R104" s="342">
        <f t="shared" si="28"/>
        <v>7000000</v>
      </c>
      <c r="S104" s="150">
        <f t="shared" si="28"/>
        <v>7000000</v>
      </c>
      <c r="T104" s="150">
        <f t="shared" si="28"/>
        <v>0</v>
      </c>
      <c r="U104" s="143"/>
    </row>
    <row r="105" spans="1:21" s="144" customFormat="1">
      <c r="A105" s="149" t="s">
        <v>780</v>
      </c>
      <c r="B105" s="150">
        <f>SUM(C105:D105)</f>
        <v>81702348</v>
      </c>
      <c r="C105" s="150">
        <f t="shared" ref="C105:R105" si="29">SUM(C97+C104)</f>
        <v>81702348</v>
      </c>
      <c r="D105" s="150">
        <f t="shared" si="29"/>
        <v>0</v>
      </c>
      <c r="E105" s="150">
        <f t="shared" si="29"/>
        <v>33202348</v>
      </c>
      <c r="F105" s="150">
        <f t="shared" si="29"/>
        <v>11800000</v>
      </c>
      <c r="G105" s="150">
        <f t="shared" si="29"/>
        <v>1000000</v>
      </c>
      <c r="H105" s="150">
        <f t="shared" si="29"/>
        <v>8200000</v>
      </c>
      <c r="I105" s="150">
        <f t="shared" si="29"/>
        <v>2000000</v>
      </c>
      <c r="J105" s="150">
        <f t="shared" si="29"/>
        <v>20000000</v>
      </c>
      <c r="K105" s="150">
        <f t="shared" si="29"/>
        <v>3500000</v>
      </c>
      <c r="L105" s="150">
        <f t="shared" si="29"/>
        <v>2000000</v>
      </c>
      <c r="M105" s="150">
        <f t="shared" si="29"/>
        <v>0</v>
      </c>
      <c r="N105" s="150">
        <f t="shared" si="29"/>
        <v>0</v>
      </c>
      <c r="O105" s="150">
        <f t="shared" si="29"/>
        <v>0</v>
      </c>
      <c r="P105" s="150">
        <f t="shared" si="29"/>
        <v>0</v>
      </c>
      <c r="Q105" s="150">
        <f t="shared" si="29"/>
        <v>0</v>
      </c>
      <c r="R105" s="342">
        <f t="shared" si="29"/>
        <v>81702348</v>
      </c>
      <c r="S105" s="150">
        <f>S97+S104</f>
        <v>73736040</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73736040</v>
      </c>
      <c r="T107" s="150">
        <f>T105+T106</f>
        <v>0</v>
      </c>
    </row>
    <row r="108" spans="1:21" s="189" customFormat="1">
      <c r="A108" s="162" t="s">
        <v>879</v>
      </c>
      <c r="B108" s="157"/>
      <c r="C108" s="157"/>
      <c r="D108" s="157"/>
      <c r="E108" s="301">
        <f>Application!AO640</f>
        <v>33202348</v>
      </c>
      <c r="F108" s="301">
        <f>Application!AO627</f>
        <v>11800000</v>
      </c>
      <c r="G108" s="301">
        <f>Application!AO628</f>
        <v>1000000</v>
      </c>
      <c r="H108" s="301">
        <f>Application!AO629</f>
        <v>8200000</v>
      </c>
      <c r="I108" s="301">
        <f>Application!AO630</f>
        <v>2000000</v>
      </c>
      <c r="J108" s="301">
        <f>Application!AO631</f>
        <v>20000000</v>
      </c>
      <c r="K108" s="301">
        <f>Application!AO632</f>
        <v>3500000</v>
      </c>
      <c r="L108" s="301">
        <f>Application!AO633</f>
        <v>2000000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6" t="s">
        <v>990</v>
      </c>
      <c r="E122" s="1866"/>
      <c r="F122" s="186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993</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75">
      <c r="A129" s="117" t="s">
        <v>299</v>
      </c>
      <c r="B129" s="333"/>
      <c r="C129" s="117"/>
      <c r="D129" s="1865" t="s">
        <v>997</v>
      </c>
      <c r="E129" s="1865"/>
      <c r="F129" s="1865"/>
      <c r="G129" s="1865"/>
      <c r="H129" s="186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2.75">
      <c r="A139" s="1867" t="s">
        <v>1004</v>
      </c>
      <c r="B139" s="1867"/>
      <c r="C139" s="1867"/>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E4" sqref="E4"/>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1227</v>
      </c>
      <c r="B1" s="1874"/>
      <c r="C1" s="1874"/>
      <c r="D1" s="1874"/>
      <c r="E1" s="1874"/>
      <c r="F1" s="1874"/>
      <c r="G1" s="1874"/>
      <c r="H1" s="1874"/>
      <c r="I1" s="1874"/>
      <c r="J1" s="187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2000000</v>
      </c>
      <c r="C4" s="362"/>
      <c r="D4" s="362"/>
      <c r="E4" s="363"/>
      <c r="F4" s="363"/>
      <c r="G4" s="363"/>
      <c r="H4" s="363"/>
      <c r="I4" s="363"/>
      <c r="J4" s="363"/>
      <c r="K4" s="359"/>
    </row>
    <row r="5" spans="1:11" s="360" customFormat="1">
      <c r="A5" s="364" t="s">
        <v>28</v>
      </c>
      <c r="B5" s="361">
        <f>'Sources and Uses Budget'!C5</f>
        <v>25000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2025000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2025000</v>
      </c>
      <c r="C12" s="361">
        <f>SUM(C8+C11)</f>
        <v>0</v>
      </c>
      <c r="D12" s="361">
        <f>SUM(D8+D11)</f>
        <v>0</v>
      </c>
      <c r="E12" s="363"/>
      <c r="F12" s="363"/>
      <c r="G12" s="363"/>
      <c r="H12" s="363"/>
      <c r="I12" s="363"/>
      <c r="J12" s="363"/>
      <c r="K12" s="359"/>
    </row>
    <row r="13" spans="1:11" s="360" customFormat="1">
      <c r="A13" s="366" t="s">
        <v>902</v>
      </c>
      <c r="B13" s="361">
        <f>'Sources and Uses Budget'!C13</f>
        <v>50000</v>
      </c>
      <c r="C13" s="362"/>
      <c r="D13" s="362"/>
      <c r="E13" s="361">
        <f>'Sources and Uses Budget'!S13</f>
        <v>50000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48116585</v>
      </c>
      <c r="C30" s="362"/>
      <c r="D30" s="362"/>
      <c r="E30" s="361">
        <f>'Sources and Uses Budget'!S30</f>
        <v>48116585</v>
      </c>
      <c r="F30" s="362"/>
      <c r="G30" s="362"/>
      <c r="H30" s="361">
        <f>'Sources and Uses Budget'!T30</f>
        <v>0</v>
      </c>
      <c r="I30" s="362"/>
      <c r="J30" s="362"/>
      <c r="K30" s="359"/>
    </row>
    <row r="31" spans="1:11" s="360" customFormat="1">
      <c r="A31" s="145" t="s">
        <v>600</v>
      </c>
      <c r="B31" s="361">
        <f>'Sources and Uses Budget'!C31</f>
        <v>1784503</v>
      </c>
      <c r="C31" s="362"/>
      <c r="D31" s="362"/>
      <c r="E31" s="361">
        <f>'Sources and Uses Budget'!S31</f>
        <v>1784503</v>
      </c>
      <c r="F31" s="362"/>
      <c r="G31" s="362"/>
      <c r="H31" s="361">
        <f>'Sources and Uses Budget'!T31</f>
        <v>0</v>
      </c>
      <c r="I31" s="362"/>
      <c r="J31" s="362"/>
      <c r="K31" s="359"/>
    </row>
    <row r="32" spans="1:11" s="360" customFormat="1">
      <c r="A32" s="145" t="s">
        <v>137</v>
      </c>
      <c r="B32" s="361">
        <f>'Sources and Uses Budget'!C32</f>
        <v>860655</v>
      </c>
      <c r="C32" s="362"/>
      <c r="D32" s="362"/>
      <c r="E32" s="361">
        <f>'Sources and Uses Budget'!S32</f>
        <v>860655</v>
      </c>
      <c r="F32" s="362"/>
      <c r="G32" s="362"/>
      <c r="H32" s="361">
        <f>'Sources and Uses Budget'!T32</f>
        <v>0</v>
      </c>
      <c r="I32" s="362"/>
      <c r="J32" s="362"/>
      <c r="K32" s="359"/>
    </row>
    <row r="33" spans="1:11" s="360" customFormat="1">
      <c r="A33" s="145" t="s">
        <v>138</v>
      </c>
      <c r="B33" s="361">
        <f>'Sources and Uses Budget'!C33</f>
        <v>860655</v>
      </c>
      <c r="C33" s="362"/>
      <c r="D33" s="362"/>
      <c r="E33" s="361">
        <f>'Sources and Uses Budget'!S33</f>
        <v>860655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800965</v>
      </c>
      <c r="C35" s="362"/>
      <c r="D35" s="362"/>
      <c r="E35" s="361">
        <f>'Sources and Uses Budget'!S35</f>
        <v>800965</v>
      </c>
      <c r="F35" s="362"/>
      <c r="G35" s="362"/>
      <c r="H35" s="361">
        <f>'Sources and Uses Budget'!T35</f>
        <v>0</v>
      </c>
      <c r="I35" s="362"/>
      <c r="J35" s="362"/>
      <c r="K35" s="359"/>
    </row>
    <row r="36" spans="1:11" s="360" customFormat="1">
      <c r="A36" s="508" t="s">
        <v>1640</v>
      </c>
      <c r="B36" s="361">
        <f>'Sources and Uses Budget'!C36</f>
        <v>100000</v>
      </c>
      <c r="C36" s="362"/>
      <c r="D36" s="362"/>
      <c r="E36" s="361">
        <f>'Sources and Uses Budget'!S36</f>
        <v>100000</v>
      </c>
      <c r="F36" s="362"/>
      <c r="G36" s="362"/>
      <c r="H36" s="361">
        <f>'Sources and Uses Budget'!T36</f>
        <v>0</v>
      </c>
      <c r="I36" s="362"/>
      <c r="J36" s="362"/>
      <c r="K36" s="359"/>
    </row>
    <row r="37" spans="1:11" s="360" customFormat="1">
      <c r="A37" s="364" t="str">
        <f>'Sources and Uses Budget'!$A37</f>
        <v>Other: PGE Transformer</v>
      </c>
      <c r="B37" s="361">
        <f>'Sources and Uses Budget'!C37</f>
        <v>370000</v>
      </c>
      <c r="C37" s="362"/>
      <c r="D37" s="362"/>
      <c r="E37" s="361">
        <f>'Sources and Uses Budget'!S37</f>
        <v>370000</v>
      </c>
      <c r="F37" s="362"/>
      <c r="G37" s="362"/>
      <c r="H37" s="361">
        <f>'Sources and Uses Budget'!T37</f>
        <v>0</v>
      </c>
      <c r="I37" s="362"/>
      <c r="J37" s="362"/>
      <c r="K37" s="359"/>
    </row>
    <row r="38" spans="1:11" s="360" customFormat="1">
      <c r="A38" s="365" t="s">
        <v>143</v>
      </c>
      <c r="B38" s="361">
        <f>'Sources and Uses Budget'!C38</f>
        <v>52893363</v>
      </c>
      <c r="C38" s="361">
        <f>SUM(C29:C37)</f>
        <v>0</v>
      </c>
      <c r="D38" s="361">
        <f>SUM(D29:D37)</f>
        <v>0</v>
      </c>
      <c r="E38" s="361">
        <f>'Sources and Uses Budget'!S38</f>
        <v>52893363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2088312</v>
      </c>
      <c r="C40" s="362"/>
      <c r="D40" s="362"/>
      <c r="E40" s="361">
        <f>'Sources and Uses Budget'!S40</f>
        <v>2088312</v>
      </c>
      <c r="F40" s="362"/>
      <c r="G40" s="362"/>
      <c r="H40" s="361">
        <f>'Sources and Uses Budget'!T40</f>
        <v>0</v>
      </c>
      <c r="I40" s="362"/>
      <c r="J40" s="362"/>
      <c r="K40" s="359"/>
    </row>
    <row r="41" spans="1:11" s="360" customFormat="1">
      <c r="A41" s="364" t="s">
        <v>146</v>
      </c>
      <c r="B41" s="361">
        <f>'Sources and Uses Budget'!C41</f>
        <v>450000</v>
      </c>
      <c r="C41" s="362"/>
      <c r="D41" s="362"/>
      <c r="E41" s="361">
        <f>'Sources and Uses Budget'!S41</f>
        <v>450000</v>
      </c>
      <c r="F41" s="362"/>
      <c r="G41" s="362"/>
      <c r="H41" s="361">
        <f>'Sources and Uses Budget'!T41</f>
        <v>0</v>
      </c>
      <c r="I41" s="362"/>
      <c r="J41" s="362"/>
      <c r="K41" s="359"/>
    </row>
    <row r="42" spans="1:11" s="360" customFormat="1">
      <c r="A42" s="365" t="s">
        <v>147</v>
      </c>
      <c r="B42" s="361">
        <f>'Sources and Uses Budget'!C42</f>
        <v>2538312</v>
      </c>
      <c r="C42" s="361">
        <f>SUM(C39:C41)</f>
        <v>0</v>
      </c>
      <c r="D42" s="361">
        <f>SUM(D39:D41)</f>
        <v>0</v>
      </c>
      <c r="E42" s="361">
        <f>'Sources and Uses Budget'!S42</f>
        <v>2538312</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620000</v>
      </c>
      <c r="C43" s="362"/>
      <c r="D43" s="362"/>
      <c r="E43" s="361">
        <f>'Sources and Uses Budget'!S43</f>
        <v>620000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4543019</v>
      </c>
      <c r="C45" s="362"/>
      <c r="D45" s="362"/>
      <c r="E45" s="361">
        <f>'Sources and Uses Budget'!S45</f>
        <v>2042332</v>
      </c>
      <c r="F45" s="362"/>
      <c r="G45" s="362"/>
      <c r="H45" s="361">
        <f>'Sources and Uses Budget'!T45</f>
        <v>0</v>
      </c>
      <c r="I45" s="362"/>
      <c r="J45" s="362"/>
      <c r="K45" s="359"/>
    </row>
    <row r="46" spans="1:11" s="360" customFormat="1">
      <c r="A46" s="364" t="s">
        <v>151</v>
      </c>
      <c r="B46" s="361">
        <f>'Sources and Uses Budget'!C46</f>
        <v>309679</v>
      </c>
      <c r="C46" s="362"/>
      <c r="D46" s="362"/>
      <c r="E46" s="361">
        <f>'Sources and Uses Budget'!S46</f>
        <v>139287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237335</v>
      </c>
      <c r="C49" s="362"/>
      <c r="D49" s="362"/>
      <c r="E49" s="361">
        <f>'Sources and Uses Budget'!S49</f>
        <v>106748</v>
      </c>
      <c r="F49" s="362"/>
      <c r="G49" s="362"/>
      <c r="H49" s="361">
        <f>'Sources and Uses Budget'!T49</f>
        <v>0</v>
      </c>
      <c r="I49" s="362"/>
      <c r="J49" s="362"/>
      <c r="K49" s="359"/>
    </row>
    <row r="50" spans="1:11" s="360" customFormat="1">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38000</v>
      </c>
      <c r="C51" s="362"/>
      <c r="D51" s="362"/>
      <c r="E51" s="361">
        <f>'Sources and Uses Budget'!S51</f>
        <v>38000</v>
      </c>
      <c r="F51" s="362"/>
      <c r="G51" s="362"/>
      <c r="H51" s="361">
        <f>'Sources and Uses Budget'!T51</f>
        <v>0</v>
      </c>
      <c r="I51" s="362"/>
      <c r="J51" s="362"/>
      <c r="K51" s="359"/>
    </row>
    <row r="52" spans="1:11" s="360" customFormat="1">
      <c r="A52" s="364" t="s">
        <v>155</v>
      </c>
      <c r="B52" s="361">
        <f>'Sources and Uses Budget'!C52</f>
        <v>600000</v>
      </c>
      <c r="C52" s="362"/>
      <c r="D52" s="362"/>
      <c r="E52" s="361">
        <f>'Sources and Uses Budget'!S52</f>
        <v>600000</v>
      </c>
      <c r="F52" s="362"/>
      <c r="G52" s="362"/>
      <c r="H52" s="361">
        <f>'Sources and Uses Budget'!T52</f>
        <v>0</v>
      </c>
      <c r="I52" s="362"/>
      <c r="J52" s="362"/>
      <c r="K52" s="359"/>
    </row>
    <row r="53" spans="1:11" s="360" customFormat="1">
      <c r="A53" s="364" t="str">
        <f>'Sources and Uses Budget'!$A53</f>
        <v>Other: Lender Expenses</v>
      </c>
      <c r="B53" s="361">
        <f>'Sources and Uses Budget'!C53</f>
        <v>35000</v>
      </c>
      <c r="C53" s="362"/>
      <c r="D53" s="362"/>
      <c r="E53" s="361">
        <f>'Sources and Uses Budget'!S53</f>
        <v>15742</v>
      </c>
      <c r="F53" s="362"/>
      <c r="G53" s="362"/>
      <c r="H53" s="361">
        <f>'Sources and Uses Budget'!T53</f>
        <v>0</v>
      </c>
      <c r="I53" s="362"/>
      <c r="J53" s="362"/>
      <c r="K53" s="359"/>
    </row>
    <row r="54" spans="1:11" s="369" customFormat="1">
      <c r="A54" s="365" t="s">
        <v>157</v>
      </c>
      <c r="B54" s="361">
        <f>'Sources and Uses Budget'!C54</f>
        <v>5843033</v>
      </c>
      <c r="C54" s="367">
        <f>SUM(C45:C53)</f>
        <v>0</v>
      </c>
      <c r="D54" s="367">
        <f>SUM(D45:D53)</f>
        <v>0</v>
      </c>
      <c r="E54" s="361">
        <f>'Sources and Uses Budget'!S54</f>
        <v>3022109</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15000</v>
      </c>
      <c r="C62" s="361">
        <f>SUM(C56:C61)</f>
        <v>0</v>
      </c>
      <c r="D62" s="361">
        <f>SUM(D56:D61)</f>
        <v>0</v>
      </c>
      <c r="E62" s="363"/>
      <c r="F62" s="363"/>
      <c r="G62" s="363"/>
      <c r="H62" s="363"/>
      <c r="I62" s="363"/>
      <c r="J62" s="363"/>
      <c r="K62" s="359"/>
    </row>
    <row r="63" spans="1:11" s="360" customFormat="1">
      <c r="A63" s="370" t="s">
        <v>301</v>
      </c>
      <c r="B63" s="361">
        <f>'Sources and Uses Budget'!C63</f>
        <v>63984708</v>
      </c>
      <c r="C63" s="361">
        <f>SUM(C8+C11+C13+C14+C15+C26+C27+C38+C42+C43+C54+C62)</f>
        <v>0</v>
      </c>
      <c r="D63" s="361">
        <f>SUM(D8+D11+D13+D14+D15+D26+D27+D38+D42+D43+D54+D62)</f>
        <v>0</v>
      </c>
      <c r="E63" s="361">
        <f>'Sources and Uses Budget'!S63</f>
        <v>59123784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65000</v>
      </c>
      <c r="C65" s="362"/>
      <c r="D65" s="362"/>
      <c r="E65" s="361">
        <f>'Sources and Uses Budget'!S65</f>
        <v>29236</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55000</v>
      </c>
      <c r="C69" s="362"/>
      <c r="D69" s="362"/>
      <c r="E69" s="361">
        <f>'Sources and Uses Budget'!S69</f>
        <v>40000</v>
      </c>
      <c r="F69" s="362"/>
      <c r="G69" s="362"/>
      <c r="H69" s="361">
        <f>'Sources and Uses Budget'!T69</f>
        <v>0</v>
      </c>
      <c r="I69" s="362"/>
      <c r="J69" s="362"/>
      <c r="K69" s="359"/>
    </row>
    <row r="70" spans="1:11" s="360" customFormat="1">
      <c r="A70" s="365" t="s">
        <v>601</v>
      </c>
      <c r="B70" s="361">
        <f>'Sources and Uses Budget'!C70</f>
        <v>120000</v>
      </c>
      <c r="C70" s="361">
        <f>SUM(C64:C69)</f>
        <v>0</v>
      </c>
      <c r="D70" s="361">
        <f>SUM(D64:D69)</f>
        <v>0</v>
      </c>
      <c r="E70" s="361">
        <f>'Sources and Uses Budget'!S70</f>
        <v>69236</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611993</v>
      </c>
      <c r="C75" s="362"/>
      <c r="D75" s="362"/>
      <c r="E75" s="363"/>
      <c r="F75" s="363"/>
      <c r="G75" s="363"/>
      <c r="H75" s="363"/>
      <c r="I75" s="363"/>
      <c r="J75" s="363"/>
      <c r="K75" s="359"/>
    </row>
    <row r="76" spans="1:11" s="360" customFormat="1">
      <c r="A76" s="364" t="str">
        <f>'Sources and Uses Budget'!$A76</f>
        <v>Other: PRAC, HUD + AM + GP Fees</v>
      </c>
      <c r="B76" s="361">
        <f>'Sources and Uses Budget'!C76</f>
        <v>1868884</v>
      </c>
      <c r="C76" s="362"/>
      <c r="D76" s="362"/>
      <c r="E76" s="363"/>
      <c r="F76" s="363"/>
      <c r="G76" s="363"/>
      <c r="H76" s="363"/>
      <c r="I76" s="363"/>
      <c r="J76" s="363"/>
      <c r="K76" s="359"/>
    </row>
    <row r="77" spans="1:11" s="360" customFormat="1">
      <c r="A77" s="365" t="s">
        <v>606</v>
      </c>
      <c r="B77" s="361">
        <f>'Sources and Uses Budget'!C77</f>
        <v>2480877</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4183183</v>
      </c>
      <c r="C79" s="362"/>
      <c r="D79" s="362"/>
      <c r="E79" s="361">
        <f>'Sources and Uses Budget'!S79</f>
        <v>4183183</v>
      </c>
      <c r="F79" s="362"/>
      <c r="G79" s="362"/>
      <c r="H79" s="361">
        <f>'Sources and Uses Budget'!T79</f>
        <v>0</v>
      </c>
      <c r="I79" s="362"/>
      <c r="J79" s="362"/>
      <c r="K79" s="359"/>
    </row>
    <row r="80" spans="1:11" s="360" customFormat="1">
      <c r="A80" s="364" t="s">
        <v>58</v>
      </c>
      <c r="B80" s="361">
        <f>'Sources and Uses Budget'!C80</f>
        <v>524977</v>
      </c>
      <c r="C80" s="362"/>
      <c r="D80" s="362"/>
      <c r="E80" s="361">
        <f>'Sources and Uses Budget'!S80</f>
        <v>524977</v>
      </c>
      <c r="F80" s="362"/>
      <c r="G80" s="362"/>
      <c r="H80" s="361">
        <f>'Sources and Uses Budget'!T80</f>
        <v>0</v>
      </c>
      <c r="I80" s="362"/>
      <c r="J80" s="362"/>
      <c r="K80" s="359"/>
    </row>
    <row r="81" spans="1:11" s="360" customFormat="1">
      <c r="A81" s="365" t="s">
        <v>1209</v>
      </c>
      <c r="B81" s="361">
        <f>'Sources and Uses Budget'!C81</f>
        <v>4708160</v>
      </c>
      <c r="C81" s="361">
        <f>SUM(C79:C80)</f>
        <v>0</v>
      </c>
      <c r="D81" s="361">
        <f>SUM(D79:D80)</f>
        <v>0</v>
      </c>
      <c r="E81" s="361">
        <f>'Sources and Uses Budget'!S81</f>
        <v>4708160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107743</v>
      </c>
      <c r="C83" s="362"/>
      <c r="D83" s="362"/>
      <c r="E83" s="363"/>
      <c r="F83" s="363"/>
      <c r="G83" s="363"/>
      <c r="H83" s="363"/>
      <c r="I83" s="363"/>
      <c r="J83" s="363"/>
      <c r="K83" s="359"/>
    </row>
    <row r="84" spans="1:11" s="360" customFormat="1">
      <c r="A84" s="145" t="s">
        <v>767</v>
      </c>
      <c r="B84" s="361">
        <f>'Sources and Uses Budget'!C84</f>
        <v>50000</v>
      </c>
      <c r="C84" s="362"/>
      <c r="D84" s="362"/>
      <c r="E84" s="361">
        <f>'Sources and Uses Budget'!S84</f>
        <v>50000</v>
      </c>
      <c r="F84" s="362"/>
      <c r="G84" s="362"/>
      <c r="H84" s="361">
        <f>'Sources and Uses Budget'!T84</f>
        <v>0</v>
      </c>
      <c r="I84" s="362"/>
      <c r="J84" s="362"/>
      <c r="K84" s="359"/>
    </row>
    <row r="85" spans="1:11" s="360" customFormat="1">
      <c r="A85" s="145" t="s">
        <v>768</v>
      </c>
      <c r="B85" s="361">
        <f>'Sources and Uses Budget'!C85</f>
        <v>470930</v>
      </c>
      <c r="C85" s="362"/>
      <c r="D85" s="362"/>
      <c r="E85" s="361">
        <f>'Sources and Uses Budget'!S85</f>
        <v>470930</v>
      </c>
      <c r="F85" s="362"/>
      <c r="G85" s="362"/>
      <c r="H85" s="361">
        <f>'Sources and Uses Budget'!T85</f>
        <v>0</v>
      </c>
      <c r="I85" s="362"/>
      <c r="J85" s="362"/>
      <c r="K85" s="359"/>
    </row>
    <row r="86" spans="1:11" s="360" customFormat="1">
      <c r="A86" s="145" t="s">
        <v>769</v>
      </c>
      <c r="B86" s="361">
        <f>'Sources and Uses Budget'!C86</f>
        <v>1258930</v>
      </c>
      <c r="C86" s="362"/>
      <c r="D86" s="362"/>
      <c r="E86" s="361">
        <f>'Sources and Uses Budget'!S86</f>
        <v>1258930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450000</v>
      </c>
      <c r="C88" s="362"/>
      <c r="D88" s="362"/>
      <c r="E88" s="363"/>
      <c r="F88" s="363"/>
      <c r="G88" s="363"/>
      <c r="H88" s="363"/>
      <c r="I88" s="363"/>
      <c r="J88" s="363"/>
      <c r="K88" s="359"/>
    </row>
    <row r="89" spans="1:11" s="360" customFormat="1">
      <c r="A89" s="145" t="s">
        <v>772</v>
      </c>
      <c r="B89" s="361">
        <f>'Sources and Uses Budget'!C89</f>
        <v>150000</v>
      </c>
      <c r="C89" s="362"/>
      <c r="D89" s="362"/>
      <c r="E89" s="361">
        <f>'Sources and Uses Budget'!S89</f>
        <v>150000</v>
      </c>
      <c r="F89" s="362"/>
      <c r="G89" s="362"/>
      <c r="H89" s="361">
        <f>'Sources and Uses Budget'!T89</f>
        <v>0</v>
      </c>
      <c r="I89" s="362"/>
      <c r="J89" s="362"/>
      <c r="K89" s="359"/>
    </row>
    <row r="90" spans="1:11" s="360" customFormat="1">
      <c r="A90" s="145" t="s">
        <v>773</v>
      </c>
      <c r="B90" s="361">
        <f>'Sources and Uses Budget'!C90</f>
        <v>16000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Prevailing Wage Monitor</v>
      </c>
      <c r="B93" s="361">
        <f>'Sources and Uses Budget'!C93</f>
        <v>40000</v>
      </c>
      <c r="C93" s="362"/>
      <c r="D93" s="362"/>
      <c r="E93" s="361">
        <f>'Sources and Uses Budget'!S93</f>
        <v>40000</v>
      </c>
      <c r="F93" s="362"/>
      <c r="G93" s="362"/>
      <c r="H93" s="361">
        <f>'Sources and Uses Budget'!T93</f>
        <v>0</v>
      </c>
      <c r="I93" s="362"/>
      <c r="J93" s="362"/>
      <c r="K93" s="359"/>
    </row>
    <row r="94" spans="1:11" s="360" customFormat="1">
      <c r="A94" s="364" t="str">
        <f>'Sources and Uses Budget'!$A94</f>
        <v>Other: Utility Connection Fees</v>
      </c>
      <c r="B94" s="361">
        <f>'Sources and Uses Budget'!C94</f>
        <v>750000</v>
      </c>
      <c r="C94" s="362"/>
      <c r="D94" s="362"/>
      <c r="E94" s="361">
        <f>'Sources and Uses Budget'!S94</f>
        <v>750000</v>
      </c>
      <c r="F94" s="362"/>
      <c r="G94" s="362"/>
      <c r="H94" s="361">
        <f>'Sources and Uses Budget'!T94</f>
        <v>0</v>
      </c>
      <c r="I94" s="362"/>
      <c r="J94" s="362"/>
      <c r="K94" s="359"/>
    </row>
    <row r="95" spans="1:11" s="360" customFormat="1">
      <c r="A95" s="364" t="str">
        <f>'Sources and Uses Budget'!$A95</f>
        <v>Other: Waste Fees</v>
      </c>
      <c r="B95" s="361">
        <f>'Sources and Uses Budget'!C95</f>
        <v>100000</v>
      </c>
      <c r="C95" s="362"/>
      <c r="D95" s="362"/>
      <c r="E95" s="361">
        <f>'Sources and Uses Budget'!S95</f>
        <v>100000</v>
      </c>
      <c r="F95" s="362"/>
      <c r="G95" s="362"/>
      <c r="H95" s="361">
        <f>'Sources and Uses Budget'!T95</f>
        <v>0</v>
      </c>
      <c r="I95" s="362"/>
      <c r="J95" s="362"/>
      <c r="K95" s="359"/>
    </row>
    <row r="96" spans="1:11" s="360" customFormat="1">
      <c r="A96" s="365" t="s">
        <v>774</v>
      </c>
      <c r="B96" s="361">
        <f>'Sources and Uses Budget'!C96</f>
        <v>3408603</v>
      </c>
      <c r="C96" s="361">
        <f>SUM(C83:C95)</f>
        <v>0</v>
      </c>
      <c r="D96" s="361">
        <f>SUM(D83:D95)</f>
        <v>0</v>
      </c>
      <c r="E96" s="361">
        <f>'Sources and Uses Budget'!S96</f>
        <v>2834860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74702348</v>
      </c>
      <c r="C97" s="361">
        <f>SUM(C63+C70+C77+C81+C96)</f>
        <v>0</v>
      </c>
      <c r="D97" s="361">
        <f>SUM(D63+D70+D77+D81+D96)</f>
        <v>0</v>
      </c>
      <c r="E97" s="361">
        <f>'Sources and Uses Budget'!S97</f>
        <v>66736040</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7000000</v>
      </c>
      <c r="C99" s="362"/>
      <c r="D99" s="362"/>
      <c r="E99" s="361">
        <f>'Sources and Uses Budget'!S99</f>
        <v>7000000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7000000</v>
      </c>
      <c r="C104" s="361">
        <f>SUM(C99:C103)</f>
        <v>0</v>
      </c>
      <c r="D104" s="361">
        <f>SUM(D99:D103)</f>
        <v>0</v>
      </c>
      <c r="E104" s="361">
        <f>'Sources and Uses Budget'!S104</f>
        <v>7000000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81702348</v>
      </c>
      <c r="C105" s="367">
        <f>SUM(C97+C104)</f>
        <v>0</v>
      </c>
      <c r="D105" s="367">
        <f>SUM(D97+D104)</f>
        <v>0</v>
      </c>
      <c r="E105" s="361">
        <f>'Sources and Uses Budget'!S105</f>
        <v>73736040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73736040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1"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21" t="s">
        <v>2458</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2457</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3" t="str">
        <f>IF(Application!H18="","",Application!H18)</f>
        <v>The Eliza</v>
      </c>
      <c r="M4" s="2314"/>
      <c r="N4" s="2314"/>
      <c r="O4" s="2314"/>
      <c r="P4" s="2314"/>
      <c r="Q4" s="2314"/>
      <c r="R4" s="2314"/>
      <c r="S4" s="2314"/>
      <c r="T4" s="2314"/>
      <c r="U4" s="2314"/>
      <c r="V4" s="2314"/>
      <c r="W4" s="2314"/>
      <c r="X4" s="2314"/>
      <c r="Y4" s="2314"/>
      <c r="Z4" s="2314"/>
      <c r="AA4" s="2314"/>
      <c r="AB4" s="2314"/>
      <c r="AC4" s="2315"/>
      <c r="AD4" s="1190"/>
      <c r="AE4" s="1190"/>
      <c r="AF4" s="2309" t="s">
        <v>2456</v>
      </c>
      <c r="AG4" s="2309"/>
      <c r="AH4" s="2309"/>
      <c r="AI4" s="2309"/>
      <c r="AJ4" s="2309"/>
      <c r="AK4" s="2309"/>
      <c r="AL4" s="2309"/>
      <c r="AM4" s="2309"/>
      <c r="AN4" s="2309"/>
      <c r="AO4" s="2309"/>
      <c r="AP4" s="2310"/>
      <c r="AQ4" s="2311"/>
      <c r="AR4" s="2311"/>
      <c r="AS4" s="2311"/>
      <c r="AT4" s="2311"/>
      <c r="AU4" s="231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9" t="s">
        <v>2455</v>
      </c>
      <c r="AG5" s="2309"/>
      <c r="AH5" s="2309"/>
      <c r="AI5" s="2309"/>
      <c r="AJ5" s="2309"/>
      <c r="AK5" s="2309"/>
      <c r="AL5" s="2309"/>
      <c r="AM5" s="2309"/>
      <c r="AN5" s="2309"/>
      <c r="AO5" s="2309"/>
      <c r="AP5" s="2310"/>
      <c r="AQ5" s="2311"/>
      <c r="AR5" s="2311"/>
      <c r="AS5" s="2311"/>
      <c r="AT5" s="2311"/>
      <c r="AU5" s="2311"/>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3" t="str">
        <f>IF(Application!H16="","",Application!H16)</f>
        <v>Mercy Housing California 91, L.P.</v>
      </c>
      <c r="M6" s="2314"/>
      <c r="N6" s="2314"/>
      <c r="O6" s="2314"/>
      <c r="P6" s="2314"/>
      <c r="Q6" s="2314"/>
      <c r="R6" s="2314"/>
      <c r="S6" s="2314"/>
      <c r="T6" s="2314"/>
      <c r="U6" s="2314"/>
      <c r="V6" s="2314"/>
      <c r="W6" s="2314"/>
      <c r="X6" s="2314"/>
      <c r="Y6" s="2314"/>
      <c r="Z6" s="2314"/>
      <c r="AA6" s="2314"/>
      <c r="AB6" s="2314"/>
      <c r="AC6" s="2315"/>
      <c r="AD6" s="1190"/>
      <c r="AE6" s="1190"/>
      <c r="AF6" s="2316" t="s">
        <v>2453</v>
      </c>
      <c r="AG6" s="2316"/>
      <c r="AH6" s="2316"/>
      <c r="AI6" s="2316"/>
      <c r="AJ6" s="2316"/>
      <c r="AK6" s="2316"/>
      <c r="AL6" s="2316"/>
      <c r="AM6" s="2316"/>
      <c r="AN6" s="2316"/>
      <c r="AO6" s="2316"/>
      <c r="AP6" s="2317"/>
      <c r="AQ6" s="2317"/>
      <c r="AR6" s="2317"/>
      <c r="AS6" s="2317"/>
      <c r="AT6" s="2317"/>
      <c r="AU6" s="231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6" t="s">
        <v>2452</v>
      </c>
      <c r="AG7" s="2316"/>
      <c r="AH7" s="2316"/>
      <c r="AI7" s="2316"/>
      <c r="AJ7" s="2316"/>
      <c r="AK7" s="2316"/>
      <c r="AL7" s="2316"/>
      <c r="AM7" s="2316"/>
      <c r="AN7" s="2316"/>
      <c r="AO7" s="2316"/>
      <c r="AP7" s="2317"/>
      <c r="AQ7" s="2317"/>
      <c r="AR7" s="2317"/>
      <c r="AS7" s="2317"/>
      <c r="AT7" s="2317"/>
      <c r="AU7" s="2317"/>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8" t="str">
        <f>Application!T197</f>
        <v>No</v>
      </c>
      <c r="AC8" s="2319"/>
      <c r="AD8" s="2320"/>
      <c r="AE8" s="1190"/>
      <c r="AF8" s="2316" t="s">
        <v>2450</v>
      </c>
      <c r="AG8" s="2316"/>
      <c r="AH8" s="2316"/>
      <c r="AI8" s="2316"/>
      <c r="AJ8" s="2316"/>
      <c r="AK8" s="2316"/>
      <c r="AL8" s="2316"/>
      <c r="AM8" s="2316"/>
      <c r="AN8" s="2316"/>
      <c r="AO8" s="2316"/>
      <c r="AP8" s="2317" t="s">
        <v>2099</v>
      </c>
      <c r="AQ8" s="2317"/>
      <c r="AR8" s="2317"/>
      <c r="AS8" s="2317"/>
      <c r="AT8" s="2317"/>
      <c r="AU8" s="2317"/>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9" t="s">
        <v>2449</v>
      </c>
      <c r="AG9" s="2309"/>
      <c r="AH9" s="2309"/>
      <c r="AI9" s="2309"/>
      <c r="AJ9" s="2309"/>
      <c r="AK9" s="2309"/>
      <c r="AL9" s="2309"/>
      <c r="AM9" s="2309"/>
      <c r="AN9" s="2309"/>
      <c r="AO9" s="2309"/>
      <c r="AP9" s="2310"/>
      <c r="AQ9" s="2311"/>
      <c r="AR9" s="2311"/>
      <c r="AS9" s="2311"/>
      <c r="AT9" s="2311"/>
      <c r="AU9" s="2311"/>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2">
        <f>Application!AO627</f>
        <v>11800000</v>
      </c>
      <c r="O10" s="2312"/>
      <c r="P10" s="2312"/>
      <c r="Q10" s="2312"/>
      <c r="R10" s="2312"/>
      <c r="S10" s="2312"/>
      <c r="T10" s="2312"/>
      <c r="U10" s="1190"/>
      <c r="V10" s="1190"/>
      <c r="W10" s="1190"/>
      <c r="X10" s="1193"/>
      <c r="Y10" s="1193"/>
      <c r="Z10" s="1193"/>
      <c r="AA10" s="1193"/>
      <c r="AB10" s="1193"/>
      <c r="AC10" s="1193"/>
      <c r="AD10" s="1193"/>
      <c r="AE10" s="1193"/>
      <c r="AF10" s="2309" t="s">
        <v>2446</v>
      </c>
      <c r="AG10" s="2309"/>
      <c r="AH10" s="2309"/>
      <c r="AI10" s="2309"/>
      <c r="AJ10" s="2309"/>
      <c r="AK10" s="2309"/>
      <c r="AL10" s="2309"/>
      <c r="AM10" s="2309"/>
      <c r="AN10" s="2309"/>
      <c r="AO10" s="2309"/>
      <c r="AP10" s="2310"/>
      <c r="AQ10" s="2311"/>
      <c r="AR10" s="2311"/>
      <c r="AS10" s="2311"/>
      <c r="AT10" s="2311"/>
      <c r="AU10" s="2311"/>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2">
        <f>Application!AA934</f>
        <v>0</v>
      </c>
      <c r="O11" s="2312"/>
      <c r="P11" s="2312"/>
      <c r="Q11" s="2312"/>
      <c r="R11" s="2312"/>
      <c r="S11" s="2312"/>
      <c r="T11" s="2312"/>
      <c r="U11" s="1190"/>
      <c r="V11" s="1190"/>
      <c r="W11" s="1190"/>
      <c r="X11" s="1193"/>
      <c r="Y11" s="1193"/>
      <c r="Z11" s="1193"/>
      <c r="AA11" s="1193"/>
      <c r="AB11" s="1193"/>
      <c r="AC11" s="1193"/>
      <c r="AD11" s="1193"/>
      <c r="AE11" s="1193"/>
      <c r="AF11" s="2309" t="s">
        <v>2443</v>
      </c>
      <c r="AG11" s="2309"/>
      <c r="AH11" s="2309"/>
      <c r="AI11" s="2309"/>
      <c r="AJ11" s="2309"/>
      <c r="AK11" s="2309"/>
      <c r="AL11" s="2309"/>
      <c r="AM11" s="2309"/>
      <c r="AN11" s="2309"/>
      <c r="AO11" s="2309"/>
      <c r="AP11" s="2310"/>
      <c r="AQ11" s="2311"/>
      <c r="AR11" s="2311"/>
      <c r="AS11" s="2311"/>
      <c r="AT11" s="2311"/>
      <c r="AU11" s="2311"/>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300" t="s">
        <v>2441</v>
      </c>
      <c r="C13" s="2301"/>
      <c r="D13" s="2301"/>
      <c r="E13" s="2301"/>
      <c r="F13" s="2301"/>
      <c r="G13" s="2301"/>
      <c r="H13" s="2301"/>
      <c r="I13" s="2301"/>
      <c r="J13" s="2301"/>
      <c r="K13" s="2301"/>
      <c r="L13" s="2301"/>
      <c r="M13" s="2301"/>
      <c r="N13" s="2301"/>
      <c r="O13" s="2301"/>
      <c r="P13" s="2302"/>
      <c r="Q13" s="2303" t="s">
        <v>669</v>
      </c>
      <c r="R13" s="2304"/>
      <c r="S13" s="2304"/>
      <c r="T13" s="2305"/>
      <c r="U13" s="1193"/>
      <c r="V13" s="1190"/>
      <c r="W13" s="1190"/>
      <c r="X13" s="1190"/>
      <c r="Y13" s="1190"/>
      <c r="Z13" s="1190"/>
      <c r="AA13" s="2290" t="s">
        <v>2440</v>
      </c>
      <c r="AB13" s="2290"/>
      <c r="AC13" s="2290"/>
      <c r="AD13" s="2290"/>
      <c r="AE13" s="2290"/>
      <c r="AF13" s="2290"/>
      <c r="AG13" s="2290"/>
      <c r="AH13" s="2290"/>
      <c r="AI13" s="2290"/>
      <c r="AJ13" s="2290"/>
      <c r="AK13" s="2290"/>
      <c r="AL13" s="2290"/>
      <c r="AM13" s="2290"/>
      <c r="AN13" s="2290"/>
      <c r="AO13" s="2306">
        <f>Application!W473</f>
        <v>48</v>
      </c>
      <c r="AP13" s="2307"/>
      <c r="AQ13" s="2307"/>
      <c r="AR13" s="2307"/>
      <c r="AS13" s="2307"/>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8" t="s">
        <v>2438</v>
      </c>
      <c r="AB14" s="2308"/>
      <c r="AC14" s="2308"/>
      <c r="AD14" s="2308"/>
      <c r="AE14" s="2308"/>
      <c r="AF14" s="2308"/>
      <c r="AG14" s="2308"/>
      <c r="AH14" s="2308"/>
      <c r="AI14" s="2308"/>
      <c r="AJ14" s="2308"/>
      <c r="AK14" s="2308"/>
      <c r="AL14" s="2308"/>
      <c r="AM14" s="2308"/>
      <c r="AN14" s="2308"/>
      <c r="AO14" s="2291"/>
      <c r="AP14" s="2292"/>
      <c r="AQ14" s="2292"/>
      <c r="AR14" s="2292"/>
      <c r="AS14" s="2292"/>
      <c r="AT14" s="1193"/>
      <c r="AU14" s="1193"/>
      <c r="AV14" s="1193"/>
      <c r="AW14" s="1193"/>
      <c r="AX14" s="1193"/>
      <c r="AY14" s="1193"/>
      <c r="AZ14" s="1193"/>
      <c r="BA14" s="1193"/>
      <c r="BB14" s="1193"/>
      <c r="BC14" s="1193"/>
      <c r="BD14" s="1193"/>
      <c r="BE14" s="1194"/>
    </row>
    <row r="15" spans="1:65" thickBot="1">
      <c r="A15" s="1190"/>
      <c r="B15" s="2285" t="s">
        <v>2437</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3"/>
      <c r="Y15" s="1190"/>
      <c r="Z15" s="1190"/>
      <c r="AA15" s="2290" t="s">
        <v>2436</v>
      </c>
      <c r="AB15" s="2290"/>
      <c r="AC15" s="2290"/>
      <c r="AD15" s="2290"/>
      <c r="AE15" s="2290"/>
      <c r="AF15" s="2290"/>
      <c r="AG15" s="2290"/>
      <c r="AH15" s="2290"/>
      <c r="AI15" s="2290"/>
      <c r="AJ15" s="2290"/>
      <c r="AK15" s="2290"/>
      <c r="AL15" s="2290"/>
      <c r="AM15" s="2290"/>
      <c r="AN15" s="2290"/>
      <c r="AO15" s="2291"/>
      <c r="AP15" s="2292"/>
      <c r="AQ15" s="2292"/>
      <c r="AR15" s="2292"/>
      <c r="AS15" s="229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8" t="s">
        <v>2435</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0"/>
      <c r="BA17" s="1190"/>
      <c r="BB17" s="1190"/>
      <c r="BC17" s="1190"/>
      <c r="BD17" s="1190"/>
      <c r="BE17" s="1194"/>
      <c r="BF17" s="1188"/>
    </row>
    <row r="18" spans="1:58" ht="15.75" customHeight="1">
      <c r="A18" s="1190"/>
      <c r="B18" s="2293" t="s">
        <v>2434</v>
      </c>
      <c r="C18" s="2294"/>
      <c r="D18" s="2294"/>
      <c r="E18" s="2294"/>
      <c r="F18" s="2294"/>
      <c r="G18" s="2294"/>
      <c r="H18" s="2294"/>
      <c r="I18" s="2295"/>
      <c r="J18" s="2296" t="s">
        <v>1586</v>
      </c>
      <c r="K18" s="2297"/>
      <c r="L18" s="2297"/>
      <c r="M18" s="2297"/>
      <c r="N18" s="2297"/>
      <c r="O18" s="2298"/>
      <c r="P18" s="2296" t="s">
        <v>323</v>
      </c>
      <c r="Q18" s="2297"/>
      <c r="R18" s="2297"/>
      <c r="S18" s="2297"/>
      <c r="T18" s="2297"/>
      <c r="U18" s="2298"/>
      <c r="V18" s="2296" t="s">
        <v>324</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2433</v>
      </c>
      <c r="AU18" s="2297"/>
      <c r="AV18" s="2297"/>
      <c r="AW18" s="2297"/>
      <c r="AX18" s="2297"/>
      <c r="AY18" s="2299"/>
      <c r="AZ18" s="1190"/>
      <c r="BA18" s="1190"/>
      <c r="BB18" s="1190"/>
      <c r="BC18" s="1190"/>
      <c r="BD18" s="1190"/>
      <c r="BE18" s="1194"/>
    </row>
    <row r="19" spans="1:58" ht="15">
      <c r="A19" s="1190"/>
      <c r="B19" s="2279">
        <v>0.3</v>
      </c>
      <c r="C19" s="2280"/>
      <c r="D19" s="2280"/>
      <c r="E19" s="2280"/>
      <c r="F19" s="2280"/>
      <c r="G19" s="2280"/>
      <c r="H19" s="2280"/>
      <c r="I19" s="2281"/>
      <c r="J19" s="2282">
        <f t="shared" ref="J19:J24" si="0">SUM(P19:AS19)</f>
        <v>49</v>
      </c>
      <c r="K19" s="2283"/>
      <c r="L19" s="2283"/>
      <c r="M19" s="2283"/>
      <c r="N19" s="2283"/>
      <c r="O19" s="2284"/>
      <c r="P19" s="2282" cm="1">
        <f t="array" ref="P19">SUMPRODUCT((Application!$B$718:$B$752 = 'CalHFA Addendum'!P$18)*(Application!$AC$718:$AC$752 = 'CalHFA Addendum'!$B19),Application!$G$718:$G$752)</f>
        <v>49</v>
      </c>
      <c r="Q19" s="2283"/>
      <c r="R19" s="2283"/>
      <c r="S19" s="2283"/>
      <c r="T19" s="2283"/>
      <c r="U19" s="2284"/>
      <c r="V19" s="2282" cm="1">
        <f t="array" ref="V19">SUMPRODUCT((Application!$B$714:$B$738 = 'CalHFA Addendum'!V$18)*(Application!$AC$714:$AC$738 = 'CalHFA Addendum'!$B19),Application!$G$714:$G$738)</f>
        <v>0</v>
      </c>
      <c r="W19" s="2283"/>
      <c r="X19" s="2283"/>
      <c r="Y19" s="2283"/>
      <c r="Z19" s="2283"/>
      <c r="AA19" s="2284"/>
      <c r="AB19" s="2282" cm="1">
        <f t="array" ref="AB19">SUMPRODUCT((Application!$B$714:$B$738 = 'CalHFA Addendum'!AB$18)*(Application!$AC$714:$AC$738 = 'CalHFA Addendum'!$B19),Application!$G$714:$G$738)</f>
        <v>0</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0.50515463917525771</v>
      </c>
      <c r="AU19" s="2268"/>
      <c r="AV19" s="2268"/>
      <c r="AW19" s="2268"/>
      <c r="AX19" s="2268"/>
      <c r="AY19" s="2269"/>
      <c r="AZ19" s="1195"/>
      <c r="BA19" s="1190"/>
      <c r="BB19" s="1190"/>
      <c r="BC19" s="1190"/>
      <c r="BD19" s="1190"/>
      <c r="BE19" s="1194"/>
    </row>
    <row r="20" spans="1:58" ht="15" customHeight="1">
      <c r="A20" s="1190"/>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0"/>
      <c r="BA20" s="1190"/>
      <c r="BB20" s="1190"/>
      <c r="BC20" s="1190"/>
      <c r="BD20" s="1190"/>
      <c r="BE20" s="1194"/>
    </row>
    <row r="21" spans="1:58" ht="15">
      <c r="A21" s="1190"/>
      <c r="B21" s="2279">
        <v>0.5</v>
      </c>
      <c r="C21" s="2280"/>
      <c r="D21" s="2280"/>
      <c r="E21" s="2280"/>
      <c r="F21" s="2280"/>
      <c r="G21" s="2280"/>
      <c r="H21" s="2280"/>
      <c r="I21" s="2281"/>
      <c r="J21" s="2282">
        <f t="shared" si="0"/>
        <v>47</v>
      </c>
      <c r="K21" s="2283"/>
      <c r="L21" s="2283"/>
      <c r="M21" s="2283"/>
      <c r="N21" s="2283"/>
      <c r="O21" s="2284"/>
      <c r="P21" s="2282" cm="1">
        <f t="array" ref="P21">SUMPRODUCT((Application!$B$714:$B$738 = 'CalHFA Addendum'!P$18)*(Application!$AC$714:$AC$738 = 'CalHFA Addendum'!$B21),Application!$G$714:$G$738)</f>
        <v>47</v>
      </c>
      <c r="Q21" s="2283"/>
      <c r="R21" s="2283"/>
      <c r="S21" s="2283"/>
      <c r="T21" s="2283"/>
      <c r="U21" s="2284"/>
      <c r="V21" s="2282" cm="1">
        <f t="array" ref="V21">SUMPRODUCT((Application!$B$714:$B$738 = 'CalHFA Addendum'!V$18)*(Application!$AC$714:$AC$738 = 'CalHFA Addendum'!$B21),Application!$G$714:$G$738)</f>
        <v>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0.4845360824742268</v>
      </c>
      <c r="AU21" s="2268"/>
      <c r="AV21" s="2268"/>
      <c r="AW21" s="2268"/>
      <c r="AX21" s="2268"/>
      <c r="AY21" s="2269"/>
      <c r="AZ21" s="1190"/>
      <c r="BA21" s="1190"/>
      <c r="BB21" s="1190"/>
      <c r="BC21" s="1190"/>
      <c r="BD21" s="1190"/>
      <c r="BE21" s="1194"/>
    </row>
    <row r="22" spans="1:58" ht="15">
      <c r="A22" s="1190"/>
      <c r="B22" s="2279">
        <v>0.6</v>
      </c>
      <c r="C22" s="2280"/>
      <c r="D22" s="2280"/>
      <c r="E22" s="2280"/>
      <c r="F22" s="2280"/>
      <c r="G22" s="2280"/>
      <c r="H22" s="2280"/>
      <c r="I22" s="2281"/>
      <c r="J22" s="2282">
        <f t="shared" si="0"/>
        <v>0</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0</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v>
      </c>
      <c r="AU22" s="2268"/>
      <c r="AV22" s="2268"/>
      <c r="AW22" s="2268"/>
      <c r="AX22" s="2268"/>
      <c r="AY22" s="2269"/>
      <c r="AZ22" s="1190"/>
      <c r="BA22" s="1190"/>
      <c r="BB22" s="1190"/>
      <c r="BC22" s="1190"/>
      <c r="BD22" s="1190"/>
      <c r="BE22" s="1194"/>
    </row>
    <row r="23" spans="1:58" ht="15">
      <c r="A23" s="1190"/>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v>
      </c>
      <c r="AU23" s="2268"/>
      <c r="AV23" s="2268"/>
      <c r="AW23" s="2268"/>
      <c r="AX23" s="2268"/>
      <c r="AY23" s="2269"/>
      <c r="AZ23" s="1190"/>
      <c r="BA23" s="1190"/>
      <c r="BB23" s="1190"/>
      <c r="BC23" s="1190"/>
      <c r="BD23" s="1190"/>
      <c r="BE23" s="1194"/>
    </row>
    <row r="24" spans="1:58" ht="15">
      <c r="A24" s="1190"/>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0"/>
      <c r="BA24" s="1190"/>
      <c r="BB24" s="1190"/>
      <c r="BC24" s="1190"/>
      <c r="BD24" s="1190"/>
      <c r="BE24" s="1194"/>
    </row>
    <row r="25" spans="1:58" ht="15">
      <c r="A25" s="1190"/>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0"/>
      <c r="BA25" s="1190"/>
      <c r="BB25" s="1190"/>
      <c r="BC25" s="1190"/>
      <c r="BD25" s="1190"/>
      <c r="BE25" s="1194"/>
    </row>
    <row r="26" spans="1:58" ht="15">
      <c r="A26" s="1190"/>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0"/>
      <c r="BA26" s="1190"/>
      <c r="BB26" s="1190"/>
      <c r="BC26" s="1190"/>
      <c r="BD26" s="1190"/>
      <c r="BE26" s="1194"/>
    </row>
    <row r="27" spans="1:58" ht="15">
      <c r="A27" s="1190"/>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0"/>
      <c r="BA27" s="1190"/>
      <c r="BB27" s="1190"/>
      <c r="BC27" s="1190"/>
      <c r="BD27" s="1190"/>
      <c r="BE27" s="1194"/>
    </row>
    <row r="28" spans="1:58" thickBot="1">
      <c r="A28" s="1190"/>
      <c r="B28" s="2270" t="s">
        <v>2432</v>
      </c>
      <c r="C28" s="2271"/>
      <c r="D28" s="2271"/>
      <c r="E28" s="2271"/>
      <c r="F28" s="2271"/>
      <c r="G28" s="2271"/>
      <c r="H28" s="2271"/>
      <c r="I28" s="2272"/>
      <c r="J28" s="2273">
        <f>SUM(P28:AS28)</f>
        <v>1</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1</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1.0309278350515464E-2</v>
      </c>
      <c r="AU28" s="2277"/>
      <c r="AV28" s="2277"/>
      <c r="AW28" s="2277"/>
      <c r="AX28" s="2277"/>
      <c r="AY28" s="2278"/>
      <c r="AZ28" s="1190"/>
      <c r="BA28" s="1190"/>
      <c r="BB28" s="1190"/>
      <c r="BC28" s="1190"/>
      <c r="BD28" s="1190"/>
      <c r="BE28" s="1194"/>
    </row>
    <row r="29" spans="1:58" thickBot="1">
      <c r="A29" s="1190"/>
      <c r="B29" s="2253" t="s">
        <v>1586</v>
      </c>
      <c r="C29" s="2226"/>
      <c r="D29" s="2226"/>
      <c r="E29" s="2226"/>
      <c r="F29" s="2226"/>
      <c r="G29" s="2226"/>
      <c r="H29" s="2226"/>
      <c r="I29" s="2227"/>
      <c r="J29" s="2225">
        <f>SUM(J19:O28)</f>
        <v>97</v>
      </c>
      <c r="K29" s="2226"/>
      <c r="L29" s="2226"/>
      <c r="M29" s="2226"/>
      <c r="N29" s="2226"/>
      <c r="O29" s="2227"/>
      <c r="P29" s="2225">
        <f>SUM(P19:U28)</f>
        <v>96</v>
      </c>
      <c r="Q29" s="2226"/>
      <c r="R29" s="2226"/>
      <c r="S29" s="2226"/>
      <c r="T29" s="2226"/>
      <c r="U29" s="2227"/>
      <c r="V29" s="2225">
        <f>SUM(V19:AA28)</f>
        <v>0</v>
      </c>
      <c r="W29" s="2226"/>
      <c r="X29" s="2226"/>
      <c r="Y29" s="2226"/>
      <c r="Z29" s="2226"/>
      <c r="AA29" s="2227"/>
      <c r="AB29" s="2225">
        <f>SUM(AB19:AG28)</f>
        <v>1</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1" t="s">
        <v>2431</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4"/>
    </row>
    <row r="32" spans="1:58" thickBot="1">
      <c r="A32" s="1190"/>
      <c r="B32" s="2234" t="s">
        <v>2430</v>
      </c>
      <c r="C32" s="2235"/>
      <c r="D32" s="2235"/>
      <c r="E32" s="2235"/>
      <c r="F32" s="2235"/>
      <c r="G32" s="2235"/>
      <c r="H32" s="2235"/>
      <c r="I32" s="2235"/>
      <c r="J32" s="2238" t="s">
        <v>2429</v>
      </c>
      <c r="K32" s="2239"/>
      <c r="L32" s="2239"/>
      <c r="M32" s="2239"/>
      <c r="N32" s="2238" t="s">
        <v>2428</v>
      </c>
      <c r="O32" s="2239"/>
      <c r="P32" s="2239"/>
      <c r="Q32" s="2241"/>
      <c r="R32" s="2243" t="s">
        <v>2427</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4"/>
    </row>
    <row r="33" spans="1:58" ht="15" customHeight="1">
      <c r="A33" s="1190"/>
      <c r="B33" s="2236"/>
      <c r="C33" s="2237"/>
      <c r="D33" s="2237"/>
      <c r="E33" s="2237"/>
      <c r="F33" s="2237"/>
      <c r="G33" s="2237"/>
      <c r="H33" s="2237"/>
      <c r="I33" s="2237"/>
      <c r="J33" s="2240"/>
      <c r="K33" s="2240"/>
      <c r="L33" s="2240"/>
      <c r="M33" s="2240"/>
      <c r="N33" s="2240"/>
      <c r="O33" s="2240"/>
      <c r="P33" s="2240"/>
      <c r="Q33" s="2242"/>
      <c r="R33" s="2246" t="s">
        <v>2426</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4"/>
    </row>
    <row r="34" spans="1:58" ht="15.75" customHeight="1" thickBot="1">
      <c r="A34" s="1190"/>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4"/>
    </row>
    <row r="35" spans="1:58" ht="15.75" customHeight="1">
      <c r="A35" s="1190"/>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2425</v>
      </c>
      <c r="AT35" s="2255"/>
      <c r="AU35" s="2255"/>
      <c r="AV35" s="2255"/>
      <c r="AW35" s="2255"/>
      <c r="AX35" s="2263"/>
      <c r="AY35" s="2254" t="s">
        <v>2424</v>
      </c>
      <c r="AZ35" s="2255"/>
      <c r="BA35" s="2255"/>
      <c r="BB35" s="2255"/>
      <c r="BC35" s="2255"/>
      <c r="BD35" s="2256"/>
      <c r="BE35" s="1194"/>
    </row>
    <row r="36" spans="1:58" ht="15.75" customHeight="1">
      <c r="A36" s="1190"/>
      <c r="B36" s="2158" t="s">
        <v>2423</v>
      </c>
      <c r="C36" s="2159"/>
      <c r="D36" s="2159"/>
      <c r="E36" s="2159"/>
      <c r="F36" s="2159"/>
      <c r="G36" s="2159"/>
      <c r="H36" s="2159"/>
      <c r="I36" s="2159"/>
      <c r="J36" s="2223" t="s">
        <v>2422</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4"/>
    </row>
    <row r="37" spans="1:58" ht="15.75" customHeight="1">
      <c r="A37" s="1190"/>
      <c r="B37" s="2158" t="s">
        <v>2421</v>
      </c>
      <c r="C37" s="2159"/>
      <c r="D37" s="2159"/>
      <c r="E37" s="2159"/>
      <c r="F37" s="2159"/>
      <c r="G37" s="2159"/>
      <c r="H37" s="2159"/>
      <c r="I37" s="2159"/>
      <c r="J37" s="2223" t="s">
        <v>2420</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4"/>
    </row>
    <row r="38" spans="1:58" ht="15.75" customHeight="1">
      <c r="A38" s="1190"/>
      <c r="B38" s="2158" t="s">
        <v>2419</v>
      </c>
      <c r="C38" s="2159"/>
      <c r="D38" s="2159"/>
      <c r="E38" s="2159"/>
      <c r="F38" s="2159"/>
      <c r="G38" s="2159"/>
      <c r="H38" s="2159"/>
      <c r="I38" s="2159"/>
      <c r="J38" s="2223" t="s">
        <v>2418</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4"/>
    </row>
    <row r="39" spans="1:58" ht="15.75" customHeight="1">
      <c r="A39" s="1190"/>
      <c r="B39" s="2158" t="s">
        <v>2417</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4"/>
    </row>
    <row r="40" spans="1:58" ht="15.75" customHeight="1">
      <c r="A40" s="1190"/>
      <c r="B40" s="2158" t="s">
        <v>2417</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4"/>
    </row>
    <row r="41" spans="1:58" ht="15.75" customHeight="1">
      <c r="A41" s="1190"/>
      <c r="B41" s="2158" t="s">
        <v>2416</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4"/>
    </row>
    <row r="42" spans="1:58" ht="15.75" customHeight="1">
      <c r="A42" s="1190"/>
      <c r="B42" s="2158" t="s">
        <v>2416</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4"/>
    </row>
    <row r="43" spans="1:58" ht="15.75" customHeight="1">
      <c r="A43" s="1190"/>
      <c r="B43" s="2163" t="s">
        <v>2415</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4"/>
    </row>
    <row r="44" spans="1:58" ht="15.75" customHeight="1">
      <c r="A44" s="1190"/>
      <c r="B44" s="2163" t="s">
        <v>2414</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4"/>
    </row>
    <row r="45" spans="1:58" ht="15.75" customHeight="1">
      <c r="A45" s="1190"/>
      <c r="B45" s="2163" t="s">
        <v>2413</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4"/>
    </row>
    <row r="46" spans="1:58" ht="15.75" customHeight="1">
      <c r="A46" s="1190"/>
      <c r="B46" s="2163" t="s">
        <v>2337</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4"/>
    </row>
    <row r="47" spans="1:58" ht="15.75" customHeight="1" thickBot="1">
      <c r="A47" s="1190"/>
      <c r="B47" s="2217" t="s">
        <v>299</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0" t="s">
        <v>2410</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3" t="s">
        <v>2403</v>
      </c>
      <c r="C51" s="2101"/>
      <c r="D51" s="2101"/>
      <c r="E51" s="2101"/>
      <c r="F51" s="2101"/>
      <c r="G51" s="2101"/>
      <c r="H51" s="2101"/>
      <c r="I51" s="2101"/>
      <c r="J51" s="2101" t="s">
        <v>2409</v>
      </c>
      <c r="K51" s="2101"/>
      <c r="L51" s="2101"/>
      <c r="M51" s="2101"/>
      <c r="N51" s="2101"/>
      <c r="O51" s="2101"/>
      <c r="P51" s="2101"/>
      <c r="Q51" s="2101"/>
      <c r="R51" s="2202" t="s">
        <v>2408</v>
      </c>
      <c r="S51" s="2202"/>
      <c r="T51" s="2202"/>
      <c r="U51" s="2202"/>
      <c r="V51" s="2202"/>
      <c r="W51" s="2202"/>
      <c r="X51" s="2202"/>
      <c r="Y51" s="2202"/>
      <c r="Z51" s="2202" t="s">
        <v>2407</v>
      </c>
      <c r="AA51" s="2202"/>
      <c r="AB51" s="2202"/>
      <c r="AC51" s="2202"/>
      <c r="AD51" s="2202"/>
      <c r="AE51" s="2202"/>
      <c r="AF51" s="2202"/>
      <c r="AG51" s="2202"/>
      <c r="AH51" s="2202" t="s">
        <v>2406</v>
      </c>
      <c r="AI51" s="2202"/>
      <c r="AJ51" s="2202"/>
      <c r="AK51" s="2202"/>
      <c r="AL51" s="2202"/>
      <c r="AM51" s="2202"/>
      <c r="AN51" s="2202"/>
      <c r="AO51" s="220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3" t="s">
        <v>2405</v>
      </c>
      <c r="C52" s="2164"/>
      <c r="D52" s="2164"/>
      <c r="E52" s="2164"/>
      <c r="F52" s="2164"/>
      <c r="G52" s="2164"/>
      <c r="H52" s="2164"/>
      <c r="I52" s="2164"/>
      <c r="J52" s="1987">
        <v>0</v>
      </c>
      <c r="K52" s="1987"/>
      <c r="L52" s="1987"/>
      <c r="M52" s="1987"/>
      <c r="N52" s="1987"/>
      <c r="O52" s="1987"/>
      <c r="P52" s="1987"/>
      <c r="Q52" s="1987"/>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3" t="s">
        <v>2404</v>
      </c>
      <c r="C53" s="2164"/>
      <c r="D53" s="2164"/>
      <c r="E53" s="2164"/>
      <c r="F53" s="2164"/>
      <c r="G53" s="2164"/>
      <c r="H53" s="2164"/>
      <c r="I53" s="2164"/>
      <c r="J53" s="1987">
        <v>0</v>
      </c>
      <c r="K53" s="1987"/>
      <c r="L53" s="1987"/>
      <c r="M53" s="1987"/>
      <c r="N53" s="1987"/>
      <c r="O53" s="1987"/>
      <c r="P53" s="1987"/>
      <c r="Q53" s="1987"/>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3"/>
      <c r="C54" s="2164"/>
      <c r="D54" s="2164"/>
      <c r="E54" s="2164"/>
      <c r="F54" s="2164"/>
      <c r="G54" s="2164"/>
      <c r="H54" s="2164"/>
      <c r="I54" s="2164"/>
      <c r="J54" s="1987"/>
      <c r="K54" s="1987"/>
      <c r="L54" s="1987"/>
      <c r="M54" s="1987"/>
      <c r="N54" s="1987"/>
      <c r="O54" s="1987"/>
      <c r="P54" s="1987"/>
      <c r="Q54" s="1987"/>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3"/>
      <c r="C55" s="2164"/>
      <c r="D55" s="2164"/>
      <c r="E55" s="2164"/>
      <c r="F55" s="2164"/>
      <c r="G55" s="2164"/>
      <c r="H55" s="2164"/>
      <c r="I55" s="2164"/>
      <c r="J55" s="1987"/>
      <c r="K55" s="1987"/>
      <c r="L55" s="1987"/>
      <c r="M55" s="1987"/>
      <c r="N55" s="1987"/>
      <c r="O55" s="1987"/>
      <c r="P55" s="1987"/>
      <c r="Q55" s="1987"/>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3"/>
      <c r="C56" s="2164"/>
      <c r="D56" s="2164"/>
      <c r="E56" s="2164"/>
      <c r="F56" s="2164"/>
      <c r="G56" s="2164"/>
      <c r="H56" s="2164"/>
      <c r="I56" s="2164"/>
      <c r="J56" s="1987"/>
      <c r="K56" s="1987"/>
      <c r="L56" s="1987"/>
      <c r="M56" s="1987"/>
      <c r="N56" s="1987"/>
      <c r="O56" s="1987"/>
      <c r="P56" s="1987"/>
      <c r="Q56" s="1987"/>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1" t="s">
        <v>1586</v>
      </c>
      <c r="C57" s="2132"/>
      <c r="D57" s="2132"/>
      <c r="E57" s="2132"/>
      <c r="F57" s="2132"/>
      <c r="G57" s="2132"/>
      <c r="H57" s="2132"/>
      <c r="I57" s="2132"/>
      <c r="J57" s="2132"/>
      <c r="K57" s="2132"/>
      <c r="L57" s="2132"/>
      <c r="M57" s="2132"/>
      <c r="N57" s="2132"/>
      <c r="O57" s="2132"/>
      <c r="P57" s="2132"/>
      <c r="Q57" s="2132"/>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1" t="s">
        <v>2403</v>
      </c>
      <c r="C59" s="2192"/>
      <c r="D59" s="2192"/>
      <c r="E59" s="2192"/>
      <c r="F59" s="2192"/>
      <c r="G59" s="2192"/>
      <c r="H59" s="2192"/>
      <c r="I59" s="2193"/>
      <c r="J59" s="2099" t="s">
        <v>2402</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0"/>
      <c r="AY59" s="1190"/>
      <c r="AZ59" s="1190"/>
      <c r="BA59" s="1190"/>
      <c r="BB59" s="1190"/>
      <c r="BC59" s="1190"/>
      <c r="BD59" s="1190"/>
      <c r="BE59" s="1194"/>
    </row>
    <row r="60" spans="1:77" ht="15.75" customHeight="1">
      <c r="A60" s="1190"/>
      <c r="B60" s="2183" t="str">
        <f>IF(B52="", "", B52)</f>
        <v>Services Company 1</v>
      </c>
      <c r="C60" s="2184"/>
      <c r="D60" s="2184"/>
      <c r="E60" s="2184"/>
      <c r="F60" s="2184"/>
      <c r="G60" s="2184"/>
      <c r="H60" s="2184"/>
      <c r="I60" s="2185"/>
      <c r="J60" s="2186"/>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0"/>
      <c r="AY60" s="1190"/>
      <c r="AZ60" s="1190"/>
      <c r="BA60" s="1190"/>
      <c r="BB60" s="1190"/>
      <c r="BC60" s="1190"/>
      <c r="BD60" s="1190"/>
      <c r="BE60" s="1194"/>
    </row>
    <row r="61" spans="1:77" ht="15.75" customHeight="1">
      <c r="A61" s="1190"/>
      <c r="B61" s="2183" t="str">
        <f>IF(B53="", "", B53)</f>
        <v>Services Company 2</v>
      </c>
      <c r="C61" s="2184"/>
      <c r="D61" s="2184"/>
      <c r="E61" s="2184"/>
      <c r="F61" s="2184"/>
      <c r="G61" s="2184"/>
      <c r="H61" s="2184"/>
      <c r="I61" s="2185"/>
      <c r="J61" s="2186"/>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0"/>
      <c r="AY61" s="1190"/>
      <c r="AZ61" s="1190"/>
      <c r="BA61" s="1190"/>
      <c r="BB61" s="1190"/>
      <c r="BC61" s="1190"/>
      <c r="BD61" s="1190"/>
      <c r="BE61" s="1194"/>
    </row>
    <row r="62" spans="1:77" ht="15.75" customHeight="1">
      <c r="A62" s="1190"/>
      <c r="B62" s="2183" t="str">
        <f>IF(B54="", "", B54)</f>
        <v/>
      </c>
      <c r="C62" s="2184"/>
      <c r="D62" s="2184"/>
      <c r="E62" s="2184"/>
      <c r="F62" s="2184"/>
      <c r="G62" s="2184"/>
      <c r="H62" s="2184"/>
      <c r="I62" s="2185"/>
      <c r="J62" s="2186"/>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0"/>
      <c r="AY62" s="1190"/>
      <c r="AZ62" s="1190"/>
      <c r="BA62" s="1190"/>
      <c r="BB62" s="1190"/>
      <c r="BC62" s="1190"/>
      <c r="BD62" s="1190"/>
      <c r="BE62" s="1194"/>
    </row>
    <row r="63" spans="1:77" ht="15.75" customHeight="1">
      <c r="A63" s="1190"/>
      <c r="B63" s="2183" t="str">
        <f>IF(B55="", "", B55)</f>
        <v/>
      </c>
      <c r="C63" s="2184"/>
      <c r="D63" s="2184"/>
      <c r="E63" s="2184"/>
      <c r="F63" s="2184"/>
      <c r="G63" s="2184"/>
      <c r="H63" s="2184"/>
      <c r="I63" s="2185"/>
      <c r="J63" s="2186"/>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0"/>
      <c r="AY63" s="1190"/>
      <c r="AZ63" s="1190"/>
      <c r="BA63" s="1190"/>
      <c r="BB63" s="1190"/>
      <c r="BC63" s="1190"/>
      <c r="BD63" s="1190"/>
      <c r="BE63" s="1194"/>
    </row>
    <row r="64" spans="1:77" ht="15.75" customHeight="1" thickBot="1">
      <c r="A64" s="1190"/>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8" t="s">
        <v>2400</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0"/>
      <c r="AC68" s="2024" t="s">
        <v>2399</v>
      </c>
      <c r="AD68" s="2025"/>
      <c r="AE68" s="2025"/>
      <c r="AF68" s="2025"/>
      <c r="AG68" s="2025"/>
      <c r="AH68" s="2025"/>
      <c r="AI68" s="2025"/>
      <c r="AJ68" s="2025"/>
      <c r="AK68" s="2025"/>
      <c r="AL68" s="2025"/>
      <c r="AM68" s="2025"/>
      <c r="AN68" s="2025"/>
      <c r="AO68" s="2025"/>
      <c r="AP68" s="2025"/>
      <c r="AQ68" s="2025"/>
      <c r="AR68" s="2025"/>
      <c r="AS68" s="2025"/>
      <c r="AT68" s="2025"/>
      <c r="AU68" s="2025"/>
      <c r="AV68" s="2175" t="s">
        <v>669</v>
      </c>
      <c r="AW68" s="2081"/>
      <c r="AX68" s="2081"/>
      <c r="AY68" s="2081"/>
      <c r="AZ68" s="2081"/>
      <c r="BA68" s="2081"/>
      <c r="BB68" s="2081"/>
      <c r="BC68" s="2082"/>
      <c r="BD68" s="1190"/>
      <c r="BE68" s="1194"/>
      <c r="BM68" s="1199" t="s">
        <v>2398</v>
      </c>
    </row>
    <row r="69" spans="1:94" ht="15.75" customHeight="1" thickTop="1" thickBot="1">
      <c r="A69" s="1190"/>
      <c r="B69" s="2176" t="s">
        <v>2397</v>
      </c>
      <c r="C69" s="2177"/>
      <c r="D69" s="2177"/>
      <c r="E69" s="2177"/>
      <c r="F69" s="2177"/>
      <c r="G69" s="2177"/>
      <c r="H69" s="2177"/>
      <c r="I69" s="2177"/>
      <c r="J69" s="2177"/>
      <c r="K69" s="2177"/>
      <c r="L69" s="2177"/>
      <c r="M69" s="2177"/>
      <c r="N69" s="2177"/>
      <c r="O69" s="2178" t="s">
        <v>2396</v>
      </c>
      <c r="P69" s="2179"/>
      <c r="Q69" s="2179"/>
      <c r="R69" s="2179"/>
      <c r="S69" s="2179"/>
      <c r="T69" s="2179"/>
      <c r="U69" s="2179"/>
      <c r="V69" s="2179"/>
      <c r="W69" s="2179"/>
      <c r="X69" s="2179"/>
      <c r="Y69" s="2179"/>
      <c r="Z69" s="2179"/>
      <c r="AA69" s="2180"/>
      <c r="AB69" s="1190"/>
      <c r="AC69" s="2181" t="s">
        <v>2395</v>
      </c>
      <c r="AD69" s="2182"/>
      <c r="AE69" s="2182"/>
      <c r="AF69" s="2182"/>
      <c r="AG69" s="2182"/>
      <c r="AH69" s="2182"/>
      <c r="AI69" s="2182"/>
      <c r="AJ69" s="2182"/>
      <c r="AK69" s="2182"/>
      <c r="AL69" s="2182"/>
      <c r="AM69" s="2182"/>
      <c r="AN69" s="2182"/>
      <c r="AO69" s="2182"/>
      <c r="AP69" s="2182"/>
      <c r="AQ69" s="2182"/>
      <c r="AR69" s="2182"/>
      <c r="AS69" s="2182"/>
      <c r="AT69" s="2182"/>
      <c r="AU69" s="2182"/>
      <c r="AV69" s="2175" t="s">
        <v>669</v>
      </c>
      <c r="AW69" s="2081"/>
      <c r="AX69" s="2081"/>
      <c r="AY69" s="2081"/>
      <c r="AZ69" s="2081"/>
      <c r="BA69" s="2081"/>
      <c r="BB69" s="2081"/>
      <c r="BC69" s="2082"/>
      <c r="BD69" s="1190"/>
      <c r="BE69" s="1194"/>
      <c r="BM69" s="1200" t="s">
        <v>545</v>
      </c>
    </row>
    <row r="70" spans="1:94" ht="15.75" customHeight="1">
      <c r="A70" s="1190"/>
      <c r="B70" s="2158" t="s">
        <v>2394</v>
      </c>
      <c r="C70" s="2159"/>
      <c r="D70" s="2159"/>
      <c r="E70" s="2159"/>
      <c r="F70" s="2159"/>
      <c r="G70" s="2159"/>
      <c r="H70" s="2159"/>
      <c r="I70" s="2159"/>
      <c r="J70" s="2159"/>
      <c r="K70" s="2159"/>
      <c r="L70" s="2159"/>
      <c r="M70" s="2159"/>
      <c r="N70" s="2159"/>
      <c r="O70" s="2032">
        <v>0</v>
      </c>
      <c r="P70" s="2032"/>
      <c r="Q70" s="2032"/>
      <c r="R70" s="2032"/>
      <c r="S70" s="2032"/>
      <c r="T70" s="2032"/>
      <c r="U70" s="2032"/>
      <c r="V70" s="2032"/>
      <c r="W70" s="2032"/>
      <c r="X70" s="2032"/>
      <c r="Y70" s="2032"/>
      <c r="Z70" s="2032"/>
      <c r="AA70" s="2160"/>
      <c r="AB70" s="1190"/>
      <c r="AC70" s="2070" t="s">
        <v>2393</v>
      </c>
      <c r="AD70" s="2026"/>
      <c r="AE70" s="2026"/>
      <c r="AF70" s="2169"/>
      <c r="AG70" s="2169"/>
      <c r="AH70" s="2169"/>
      <c r="AI70" s="2169"/>
      <c r="AJ70" s="2169"/>
      <c r="AK70" s="2169"/>
      <c r="AL70" s="2169"/>
      <c r="AM70" s="2169"/>
      <c r="AN70" s="2169"/>
      <c r="AO70" s="2169"/>
      <c r="AP70" s="2169"/>
      <c r="AQ70" s="2169"/>
      <c r="AR70" s="2169"/>
      <c r="AS70" s="2169"/>
      <c r="AT70" s="2169"/>
      <c r="AU70" s="2170"/>
      <c r="AV70" s="1190"/>
      <c r="AW70" s="1190"/>
      <c r="AX70" s="1190"/>
      <c r="AY70" s="1190"/>
      <c r="AZ70" s="1190"/>
      <c r="BA70" s="1190"/>
      <c r="BB70" s="1190"/>
      <c r="BC70" s="1190"/>
      <c r="BD70" s="1190"/>
      <c r="BE70" s="1194"/>
      <c r="BM70" s="1201" t="s">
        <v>669</v>
      </c>
    </row>
    <row r="71" spans="1:94" ht="15.75" customHeight="1" thickBot="1">
      <c r="A71" s="1190"/>
      <c r="B71" s="2158" t="s">
        <v>2392</v>
      </c>
      <c r="C71" s="2159"/>
      <c r="D71" s="2159"/>
      <c r="E71" s="2159"/>
      <c r="F71" s="2159"/>
      <c r="G71" s="2159"/>
      <c r="H71" s="2159"/>
      <c r="I71" s="2159"/>
      <c r="J71" s="2159"/>
      <c r="K71" s="2159"/>
      <c r="L71" s="2159"/>
      <c r="M71" s="2159"/>
      <c r="N71" s="2159"/>
      <c r="O71" s="2032">
        <v>0</v>
      </c>
      <c r="P71" s="2032"/>
      <c r="Q71" s="2032"/>
      <c r="R71" s="2032"/>
      <c r="S71" s="2032"/>
      <c r="T71" s="2032"/>
      <c r="U71" s="2032"/>
      <c r="V71" s="2032"/>
      <c r="W71" s="2032"/>
      <c r="X71" s="2032"/>
      <c r="Y71" s="2032"/>
      <c r="Z71" s="2032"/>
      <c r="AA71" s="2160"/>
      <c r="AB71" s="1190"/>
      <c r="AC71" s="2171" t="s">
        <v>2391</v>
      </c>
      <c r="AD71" s="2172"/>
      <c r="AE71" s="2172"/>
      <c r="AF71" s="2173"/>
      <c r="AG71" s="2173"/>
      <c r="AH71" s="2173"/>
      <c r="AI71" s="2173"/>
      <c r="AJ71" s="2173"/>
      <c r="AK71" s="2173"/>
      <c r="AL71" s="2173"/>
      <c r="AM71" s="2173"/>
      <c r="AN71" s="2173"/>
      <c r="AO71" s="2173"/>
      <c r="AP71" s="2173"/>
      <c r="AQ71" s="2173"/>
      <c r="AR71" s="2173"/>
      <c r="AS71" s="2173"/>
      <c r="AT71" s="2173"/>
      <c r="AU71" s="2174"/>
      <c r="AV71" s="1190"/>
      <c r="AW71" s="1190"/>
      <c r="AX71" s="1190"/>
      <c r="AY71" s="1190"/>
      <c r="AZ71" s="1190"/>
      <c r="BA71" s="1190"/>
      <c r="BB71" s="1190"/>
      <c r="BC71" s="1190"/>
      <c r="BD71" s="1190"/>
      <c r="BE71" s="1194"/>
      <c r="BM71" s="1187" t="s">
        <v>2390</v>
      </c>
    </row>
    <row r="72" spans="1:94" ht="15.75" customHeight="1">
      <c r="A72" s="1190"/>
      <c r="B72" s="2158" t="s">
        <v>2389</v>
      </c>
      <c r="C72" s="2159"/>
      <c r="D72" s="2159"/>
      <c r="E72" s="2159"/>
      <c r="F72" s="2159"/>
      <c r="G72" s="2159"/>
      <c r="H72" s="2159"/>
      <c r="I72" s="2159"/>
      <c r="J72" s="2159"/>
      <c r="K72" s="2159"/>
      <c r="L72" s="2159"/>
      <c r="M72" s="2159"/>
      <c r="N72" s="2159"/>
      <c r="O72" s="2032">
        <v>0</v>
      </c>
      <c r="P72" s="2032"/>
      <c r="Q72" s="2032"/>
      <c r="R72" s="2032"/>
      <c r="S72" s="2032"/>
      <c r="T72" s="2032"/>
      <c r="U72" s="2032"/>
      <c r="V72" s="2032"/>
      <c r="W72" s="2032"/>
      <c r="X72" s="2032"/>
      <c r="Y72" s="2032"/>
      <c r="Z72" s="2032"/>
      <c r="AA72" s="2160"/>
      <c r="AB72" s="1190"/>
      <c r="AC72" s="2161" t="s">
        <v>2388</v>
      </c>
      <c r="AD72" s="2162"/>
      <c r="AE72" s="2162"/>
      <c r="AF72" s="2162"/>
      <c r="AG72" s="2162"/>
      <c r="AH72" s="2162"/>
      <c r="AI72" s="2162"/>
      <c r="AJ72" s="2162"/>
      <c r="AK72" s="2162"/>
      <c r="AL72" s="2162"/>
      <c r="AM72" s="2162"/>
      <c r="AN72" s="2162"/>
      <c r="AO72" s="2162"/>
      <c r="AP72" s="2162"/>
      <c r="AQ72" s="2162"/>
      <c r="AR72" s="2162"/>
      <c r="AS72" s="2162"/>
      <c r="AT72" s="2162"/>
      <c r="AU72" s="2162"/>
      <c r="AV72" s="2026"/>
      <c r="AW72" s="2026"/>
      <c r="AX72" s="2026"/>
      <c r="AY72" s="2026"/>
      <c r="AZ72" s="2026"/>
      <c r="BA72" s="2026"/>
      <c r="BB72" s="2026"/>
      <c r="BC72" s="2027"/>
      <c r="BD72" s="1190"/>
      <c r="BE72" s="1194"/>
    </row>
    <row r="73" spans="1:94" ht="15.75" customHeight="1">
      <c r="A73" s="1190"/>
      <c r="B73" s="2163" t="s">
        <v>2387</v>
      </c>
      <c r="C73" s="2164"/>
      <c r="D73" s="2164"/>
      <c r="E73" s="2164"/>
      <c r="F73" s="2164"/>
      <c r="G73" s="2164"/>
      <c r="H73" s="2164"/>
      <c r="I73" s="2164"/>
      <c r="J73" s="2164"/>
      <c r="K73" s="2164"/>
      <c r="L73" s="2164"/>
      <c r="M73" s="2164"/>
      <c r="N73" s="2164"/>
      <c r="O73" s="2032">
        <v>0</v>
      </c>
      <c r="P73" s="2032"/>
      <c r="Q73" s="2032"/>
      <c r="R73" s="2032"/>
      <c r="S73" s="2032"/>
      <c r="T73" s="2032"/>
      <c r="U73" s="2032"/>
      <c r="V73" s="2032"/>
      <c r="W73" s="2032"/>
      <c r="X73" s="2032"/>
      <c r="Y73" s="2032"/>
      <c r="Z73" s="2032"/>
      <c r="AA73" s="2160"/>
      <c r="AB73" s="1190"/>
      <c r="AC73" s="2041" t="s">
        <v>2332</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0"/>
      <c r="BE73" s="1194"/>
      <c r="CK73" s="1188"/>
      <c r="CL73" s="1188"/>
      <c r="CM73" s="1188"/>
      <c r="CN73" s="1188"/>
      <c r="CO73" s="1188"/>
      <c r="CP73" s="1188"/>
    </row>
    <row r="74" spans="1:94" ht="15.75" customHeight="1">
      <c r="A74" s="1190"/>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0"/>
      <c r="AB74" s="1190"/>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0"/>
      <c r="BE74" s="1194"/>
      <c r="CK74" s="1188"/>
      <c r="CL74" s="1188"/>
      <c r="CM74" s="1188"/>
      <c r="CN74" s="1188"/>
      <c r="CO74" s="1188"/>
      <c r="CP74" s="1188"/>
    </row>
    <row r="75" spans="1:94" ht="15.75" customHeight="1" thickBot="1">
      <c r="A75" s="1190"/>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0"/>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3"/>
      <c r="G79" s="2144"/>
      <c r="H79" s="2144"/>
      <c r="I79" s="2144"/>
      <c r="J79" s="2144"/>
      <c r="K79" s="2144"/>
      <c r="L79" s="2144"/>
      <c r="M79" s="2144"/>
      <c r="N79" s="2144"/>
      <c r="O79" s="2144"/>
      <c r="P79" s="2144"/>
      <c r="Q79" s="2144"/>
      <c r="R79" s="2144"/>
      <c r="S79" s="2144"/>
      <c r="T79" s="214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6" t="s">
        <v>2385</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2" t="s">
        <v>2384</v>
      </c>
      <c r="C81" s="2153"/>
      <c r="D81" s="2153"/>
      <c r="E81" s="2153"/>
      <c r="F81" s="2153"/>
      <c r="G81" s="2153"/>
      <c r="H81" s="2153"/>
      <c r="I81" s="2153"/>
      <c r="J81" s="2153"/>
      <c r="K81" s="2153"/>
      <c r="L81" s="2153"/>
      <c r="M81" s="2153"/>
      <c r="N81" s="2153"/>
      <c r="O81" s="2153"/>
      <c r="P81" s="2153"/>
      <c r="Q81" s="2153"/>
      <c r="R81" s="2134" t="s">
        <v>2189</v>
      </c>
      <c r="S81" s="2135"/>
      <c r="T81" s="213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5" t="s">
        <v>2383</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0"/>
      <c r="AJ83" s="2122" t="s">
        <v>2382</v>
      </c>
      <c r="AK83" s="2123"/>
      <c r="AL83" s="2123"/>
      <c r="AM83" s="2123"/>
      <c r="AN83" s="2123"/>
      <c r="AO83" s="2123"/>
      <c r="AP83" s="2123"/>
      <c r="AQ83" s="2123"/>
      <c r="AR83" s="2123"/>
      <c r="AS83" s="2123"/>
      <c r="AT83" s="2123"/>
      <c r="AU83" s="2123"/>
      <c r="AV83" s="2123"/>
      <c r="AW83" s="2123"/>
      <c r="AX83" s="2123"/>
      <c r="AY83" s="2139" t="s">
        <v>545</v>
      </c>
      <c r="AZ83" s="2139"/>
      <c r="BA83" s="2139"/>
      <c r="BB83" s="2140"/>
      <c r="BC83" s="1190"/>
      <c r="BD83" s="1190"/>
      <c r="BE83" s="1194"/>
      <c r="CK83" s="1188"/>
      <c r="CL83" s="1188"/>
      <c r="CM83" s="1188"/>
      <c r="CN83" s="1188"/>
      <c r="CO83" s="1188"/>
      <c r="CP83" s="1188"/>
    </row>
    <row r="84" spans="1:94" ht="15.75" customHeight="1">
      <c r="A84" s="1190"/>
      <c r="B84" s="2133"/>
      <c r="C84" s="2101"/>
      <c r="D84" s="2101"/>
      <c r="E84" s="2101"/>
      <c r="F84" s="2101"/>
      <c r="G84" s="2101"/>
      <c r="H84" s="2101"/>
      <c r="I84" s="2101" t="s">
        <v>2372</v>
      </c>
      <c r="J84" s="2101"/>
      <c r="K84" s="2101"/>
      <c r="L84" s="2101"/>
      <c r="M84" s="2101"/>
      <c r="N84" s="2101"/>
      <c r="O84" s="2101" t="s">
        <v>2348</v>
      </c>
      <c r="P84" s="2101"/>
      <c r="Q84" s="2101"/>
      <c r="R84" s="2101"/>
      <c r="S84" s="2101"/>
      <c r="T84" s="2101"/>
      <c r="U84" s="2101"/>
      <c r="V84" s="2137" t="s">
        <v>2347</v>
      </c>
      <c r="W84" s="2137"/>
      <c r="X84" s="2137"/>
      <c r="Y84" s="2137"/>
      <c r="Z84" s="2137"/>
      <c r="AA84" s="2137"/>
      <c r="AB84" s="2071" t="s">
        <v>2371</v>
      </c>
      <c r="AC84" s="2071"/>
      <c r="AD84" s="2071"/>
      <c r="AE84" s="2071"/>
      <c r="AF84" s="2071"/>
      <c r="AG84" s="2071"/>
      <c r="AH84" s="2138"/>
      <c r="AI84" s="1190"/>
      <c r="AJ84" s="2125"/>
      <c r="AK84" s="2126"/>
      <c r="AL84" s="2126"/>
      <c r="AM84" s="2126"/>
      <c r="AN84" s="2126"/>
      <c r="AO84" s="2126"/>
      <c r="AP84" s="2126"/>
      <c r="AQ84" s="2126"/>
      <c r="AR84" s="2126"/>
      <c r="AS84" s="2126"/>
      <c r="AT84" s="2126"/>
      <c r="AU84" s="2126"/>
      <c r="AV84" s="2126"/>
      <c r="AW84" s="2126"/>
      <c r="AX84" s="2126"/>
      <c r="AY84" s="2141"/>
      <c r="AZ84" s="2141"/>
      <c r="BA84" s="2141"/>
      <c r="BB84" s="2142"/>
      <c r="BC84" s="1190"/>
      <c r="BD84" s="1190"/>
      <c r="BE84" s="1194"/>
      <c r="CK84" s="1188"/>
      <c r="CL84" s="1188"/>
      <c r="CM84" s="1188"/>
      <c r="CN84" s="1188"/>
      <c r="CO84" s="1188"/>
      <c r="CP84" s="1188"/>
    </row>
    <row r="85" spans="1:94" ht="15.75" customHeight="1">
      <c r="A85" s="1190"/>
      <c r="B85" s="2133"/>
      <c r="C85" s="2101"/>
      <c r="D85" s="2101"/>
      <c r="E85" s="2101"/>
      <c r="F85" s="2101"/>
      <c r="G85" s="2101"/>
      <c r="H85" s="2101"/>
      <c r="I85" s="2101"/>
      <c r="J85" s="2101"/>
      <c r="K85" s="2101"/>
      <c r="L85" s="2101"/>
      <c r="M85" s="2101"/>
      <c r="N85" s="2101"/>
      <c r="O85" s="2101"/>
      <c r="P85" s="2101"/>
      <c r="Q85" s="2101"/>
      <c r="R85" s="2101"/>
      <c r="S85" s="2101"/>
      <c r="T85" s="2101"/>
      <c r="U85" s="2101"/>
      <c r="V85" s="2137"/>
      <c r="W85" s="2137"/>
      <c r="X85" s="2137"/>
      <c r="Y85" s="2137"/>
      <c r="Z85" s="2137"/>
      <c r="AA85" s="2137"/>
      <c r="AB85" s="2071"/>
      <c r="AC85" s="2071"/>
      <c r="AD85" s="2071"/>
      <c r="AE85" s="2071"/>
      <c r="AF85" s="2071"/>
      <c r="AG85" s="2071"/>
      <c r="AH85" s="2138"/>
      <c r="AI85" s="1190"/>
      <c r="AJ85" s="2125"/>
      <c r="AK85" s="2126"/>
      <c r="AL85" s="2126"/>
      <c r="AM85" s="2126"/>
      <c r="AN85" s="2126"/>
      <c r="AO85" s="2126"/>
      <c r="AP85" s="2126"/>
      <c r="AQ85" s="2126"/>
      <c r="AR85" s="2126"/>
      <c r="AS85" s="2126"/>
      <c r="AT85" s="2126"/>
      <c r="AU85" s="2126"/>
      <c r="AV85" s="2126"/>
      <c r="AW85" s="2126"/>
      <c r="AX85" s="2126"/>
      <c r="AY85" s="2141"/>
      <c r="AZ85" s="2141"/>
      <c r="BA85" s="2141"/>
      <c r="BB85" s="2142"/>
      <c r="BC85" s="1190"/>
      <c r="BD85" s="1190"/>
      <c r="BE85" s="1194"/>
      <c r="CK85" s="1188"/>
      <c r="CL85" s="1188"/>
      <c r="CM85" s="1188"/>
      <c r="CN85" s="1188"/>
      <c r="CO85" s="1188"/>
      <c r="CP85" s="1188"/>
    </row>
    <row r="86" spans="1:94" ht="15.75" customHeight="1">
      <c r="A86" s="1190"/>
      <c r="B86" s="2133" t="s">
        <v>2370</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0"/>
      <c r="AJ86" s="2125"/>
      <c r="AK86" s="2126"/>
      <c r="AL86" s="2126"/>
      <c r="AM86" s="2126"/>
      <c r="AN86" s="2126"/>
      <c r="AO86" s="2126"/>
      <c r="AP86" s="2126"/>
      <c r="AQ86" s="2126"/>
      <c r="AR86" s="2126"/>
      <c r="AS86" s="2126"/>
      <c r="AT86" s="2126"/>
      <c r="AU86" s="2126"/>
      <c r="AV86" s="2126"/>
      <c r="AW86" s="2126"/>
      <c r="AX86" s="2126"/>
      <c r="AY86" s="2141"/>
      <c r="AZ86" s="2141"/>
      <c r="BA86" s="2141"/>
      <c r="BB86" s="2142"/>
      <c r="BC86" s="1190"/>
      <c r="BD86" s="1190"/>
      <c r="BE86" s="1194"/>
      <c r="CK86" s="1188"/>
      <c r="CL86" s="1188"/>
      <c r="CM86" s="1188"/>
      <c r="CN86" s="1188"/>
      <c r="CO86" s="1188"/>
      <c r="CP86" s="1188"/>
    </row>
    <row r="87" spans="1:94" ht="15.75" customHeight="1">
      <c r="A87" s="1190"/>
      <c r="B87" s="2133" t="s">
        <v>2369</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0"/>
      <c r="AJ87" s="2041" t="s">
        <v>2376</v>
      </c>
      <c r="AK87" s="2042"/>
      <c r="AL87" s="2042"/>
      <c r="AM87" s="2042"/>
      <c r="AN87" s="2042"/>
      <c r="AO87" s="2042"/>
      <c r="AP87" s="2042"/>
      <c r="AQ87" s="2042"/>
      <c r="AR87" s="2042"/>
      <c r="AS87" s="2042"/>
      <c r="AT87" s="2042"/>
      <c r="AU87" s="2042"/>
      <c r="AV87" s="2042"/>
      <c r="AW87" s="2042"/>
      <c r="AX87" s="2042"/>
      <c r="AY87" s="2042"/>
      <c r="AZ87" s="2042"/>
      <c r="BA87" s="2042"/>
      <c r="BB87" s="2043"/>
      <c r="BC87" s="1190"/>
      <c r="BD87" s="1190"/>
      <c r="BE87" s="1194"/>
      <c r="CK87" s="1188"/>
      <c r="CL87" s="1188"/>
      <c r="CM87" s="1188"/>
      <c r="CN87" s="1188"/>
      <c r="CO87" s="1188"/>
      <c r="CP87" s="1188"/>
    </row>
    <row r="88" spans="1:94" ht="15.75" customHeight="1" thickBot="1">
      <c r="A88" s="1190"/>
      <c r="B88" s="2131" t="s">
        <v>2368</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0"/>
      <c r="AJ88" s="2044"/>
      <c r="AK88" s="2045"/>
      <c r="AL88" s="2045"/>
      <c r="AM88" s="2045"/>
      <c r="AN88" s="2045"/>
      <c r="AO88" s="2045"/>
      <c r="AP88" s="2045"/>
      <c r="AQ88" s="2045"/>
      <c r="AR88" s="2045"/>
      <c r="AS88" s="2045"/>
      <c r="AT88" s="2045"/>
      <c r="AU88" s="2045"/>
      <c r="AV88" s="2045"/>
      <c r="AW88" s="2045"/>
      <c r="AX88" s="2045"/>
      <c r="AY88" s="2045"/>
      <c r="AZ88" s="2045"/>
      <c r="BA88" s="2045"/>
      <c r="BB88" s="204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3"/>
      <c r="G92" s="2144"/>
      <c r="H92" s="2144"/>
      <c r="I92" s="2144"/>
      <c r="J92" s="2144"/>
      <c r="K92" s="2144"/>
      <c r="L92" s="2144"/>
      <c r="M92" s="2144"/>
      <c r="N92" s="2144"/>
      <c r="O92" s="2144"/>
      <c r="P92" s="2144"/>
      <c r="Q92" s="2144"/>
      <c r="R92" s="2144"/>
      <c r="S92" s="2144"/>
      <c r="T92" s="214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6" t="s">
        <v>2380</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2" t="s">
        <v>2379</v>
      </c>
      <c r="C94" s="2153"/>
      <c r="D94" s="2153"/>
      <c r="E94" s="2153"/>
      <c r="F94" s="2153"/>
      <c r="G94" s="2153"/>
      <c r="H94" s="2153"/>
      <c r="I94" s="2153"/>
      <c r="J94" s="2153"/>
      <c r="K94" s="2153"/>
      <c r="L94" s="2153"/>
      <c r="M94" s="2153"/>
      <c r="N94" s="2153"/>
      <c r="O94" s="2153"/>
      <c r="P94" s="2153"/>
      <c r="Q94" s="2154"/>
      <c r="R94" s="2134" t="s">
        <v>2189</v>
      </c>
      <c r="S94" s="2135"/>
      <c r="T94" s="213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5" t="s">
        <v>2378</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0"/>
      <c r="AJ96" s="2122" t="s">
        <v>2377</v>
      </c>
      <c r="AK96" s="2123"/>
      <c r="AL96" s="2123"/>
      <c r="AM96" s="2123"/>
      <c r="AN96" s="2123"/>
      <c r="AO96" s="2123"/>
      <c r="AP96" s="2123"/>
      <c r="AQ96" s="2123"/>
      <c r="AR96" s="2123"/>
      <c r="AS96" s="2123"/>
      <c r="AT96" s="2123"/>
      <c r="AU96" s="2123"/>
      <c r="AV96" s="2123"/>
      <c r="AW96" s="2123"/>
      <c r="AX96" s="2123"/>
      <c r="AY96" s="2139" t="s">
        <v>545</v>
      </c>
      <c r="AZ96" s="2139"/>
      <c r="BA96" s="2139"/>
      <c r="BB96" s="2140"/>
      <c r="BC96" s="1190"/>
      <c r="BD96" s="1190"/>
      <c r="BE96" s="1194"/>
      <c r="BQ96" s="1256" t="str">
        <f>Application!M243&amp;IF(TRIM(Application!AA249)&lt;&gt;""," ("&amp;Application!AA249&amp;")","")</f>
        <v>Mercy Housing 91, LLC (Mercy Housing California)</v>
      </c>
      <c r="BR96" s="1259">
        <f>Application!AH246</f>
        <v>0.01</v>
      </c>
      <c r="CM96" s="1188"/>
      <c r="CN96" s="1188"/>
      <c r="CO96" s="1188"/>
      <c r="CP96" s="1188"/>
    </row>
    <row r="97" spans="1:94" ht="15.75" customHeight="1">
      <c r="A97" s="1190"/>
      <c r="B97" s="2133"/>
      <c r="C97" s="2101"/>
      <c r="D97" s="2101"/>
      <c r="E97" s="2101"/>
      <c r="F97" s="2101"/>
      <c r="G97" s="2101"/>
      <c r="H97" s="2101"/>
      <c r="I97" s="2101" t="s">
        <v>2372</v>
      </c>
      <c r="J97" s="2101"/>
      <c r="K97" s="2101"/>
      <c r="L97" s="2101"/>
      <c r="M97" s="2101"/>
      <c r="N97" s="2101"/>
      <c r="O97" s="2101" t="s">
        <v>2348</v>
      </c>
      <c r="P97" s="2101"/>
      <c r="Q97" s="2101"/>
      <c r="R97" s="2101"/>
      <c r="S97" s="2101"/>
      <c r="T97" s="2101"/>
      <c r="U97" s="2101"/>
      <c r="V97" s="2137" t="s">
        <v>2347</v>
      </c>
      <c r="W97" s="2137"/>
      <c r="X97" s="2137"/>
      <c r="Y97" s="2137"/>
      <c r="Z97" s="2137"/>
      <c r="AA97" s="2137"/>
      <c r="AB97" s="2071" t="s">
        <v>2371</v>
      </c>
      <c r="AC97" s="2071"/>
      <c r="AD97" s="2071"/>
      <c r="AE97" s="2071"/>
      <c r="AF97" s="2071"/>
      <c r="AG97" s="2071"/>
      <c r="AH97" s="2138"/>
      <c r="AI97" s="1190"/>
      <c r="AJ97" s="2125"/>
      <c r="AK97" s="2126"/>
      <c r="AL97" s="2126"/>
      <c r="AM97" s="2126"/>
      <c r="AN97" s="2126"/>
      <c r="AO97" s="2126"/>
      <c r="AP97" s="2126"/>
      <c r="AQ97" s="2126"/>
      <c r="AR97" s="2126"/>
      <c r="AS97" s="2126"/>
      <c r="AT97" s="2126"/>
      <c r="AU97" s="2126"/>
      <c r="AV97" s="2126"/>
      <c r="AW97" s="2126"/>
      <c r="AX97" s="2126"/>
      <c r="AY97" s="2141"/>
      <c r="AZ97" s="2141"/>
      <c r="BA97" s="2141"/>
      <c r="BB97" s="2142"/>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3"/>
      <c r="C98" s="2101"/>
      <c r="D98" s="2101"/>
      <c r="E98" s="2101"/>
      <c r="F98" s="2101"/>
      <c r="G98" s="2101"/>
      <c r="H98" s="2101"/>
      <c r="I98" s="2101"/>
      <c r="J98" s="2101"/>
      <c r="K98" s="2101"/>
      <c r="L98" s="2101"/>
      <c r="M98" s="2101"/>
      <c r="N98" s="2101"/>
      <c r="O98" s="2101"/>
      <c r="P98" s="2101"/>
      <c r="Q98" s="2101"/>
      <c r="R98" s="2101"/>
      <c r="S98" s="2101"/>
      <c r="T98" s="2101"/>
      <c r="U98" s="2101"/>
      <c r="V98" s="2137"/>
      <c r="W98" s="2137"/>
      <c r="X98" s="2137"/>
      <c r="Y98" s="2137"/>
      <c r="Z98" s="2137"/>
      <c r="AA98" s="2137"/>
      <c r="AB98" s="2071"/>
      <c r="AC98" s="2071"/>
      <c r="AD98" s="2071"/>
      <c r="AE98" s="2071"/>
      <c r="AF98" s="2071"/>
      <c r="AG98" s="2071"/>
      <c r="AH98" s="2138"/>
      <c r="AI98" s="1190"/>
      <c r="AJ98" s="2125"/>
      <c r="AK98" s="2126"/>
      <c r="AL98" s="2126"/>
      <c r="AM98" s="2126"/>
      <c r="AN98" s="2126"/>
      <c r="AO98" s="2126"/>
      <c r="AP98" s="2126"/>
      <c r="AQ98" s="2126"/>
      <c r="AR98" s="2126"/>
      <c r="AS98" s="2126"/>
      <c r="AT98" s="2126"/>
      <c r="AU98" s="2126"/>
      <c r="AV98" s="2126"/>
      <c r="AW98" s="2126"/>
      <c r="AX98" s="2126"/>
      <c r="AY98" s="2141"/>
      <c r="AZ98" s="2141"/>
      <c r="BA98" s="2141"/>
      <c r="BB98" s="214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3" t="s">
        <v>2370</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0"/>
      <c r="AJ99" s="2125"/>
      <c r="AK99" s="2126"/>
      <c r="AL99" s="2126"/>
      <c r="AM99" s="2126"/>
      <c r="AN99" s="2126"/>
      <c r="AO99" s="2126"/>
      <c r="AP99" s="2126"/>
      <c r="AQ99" s="2126"/>
      <c r="AR99" s="2126"/>
      <c r="AS99" s="2126"/>
      <c r="AT99" s="2126"/>
      <c r="AU99" s="2126"/>
      <c r="AV99" s="2126"/>
      <c r="AW99" s="2126"/>
      <c r="AX99" s="2126"/>
      <c r="AY99" s="2141"/>
      <c r="AZ99" s="2141"/>
      <c r="BA99" s="2141"/>
      <c r="BB99" s="2142"/>
      <c r="BC99" s="1190"/>
      <c r="BD99" s="1190"/>
      <c r="BE99" s="1194"/>
      <c r="CM99" s="1188"/>
      <c r="CN99" s="1188"/>
      <c r="CO99" s="1188"/>
      <c r="CP99" s="1188"/>
    </row>
    <row r="100" spans="1:94" ht="15.75" customHeight="1">
      <c r="A100" s="1190"/>
      <c r="B100" s="2133" t="s">
        <v>2369</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0"/>
      <c r="AJ100" s="2041" t="s">
        <v>2376</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0"/>
      <c r="BD100" s="1190"/>
      <c r="BE100" s="1194"/>
      <c r="CM100" s="1188"/>
      <c r="CN100" s="1188"/>
      <c r="CO100" s="1188"/>
      <c r="CP100" s="1188"/>
    </row>
    <row r="101" spans="1:94" ht="15.75" customHeight="1" thickBot="1">
      <c r="A101" s="1190"/>
      <c r="B101" s="2131" t="s">
        <v>2368</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0"/>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0"/>
      <c r="BD101" s="1190"/>
      <c r="BE101" s="1194"/>
      <c r="BQ101" s="1256" t="str">
        <f>Application!AA335</f>
        <v>Mercy Housing Management Group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5"/>
      <c r="G104" s="2096"/>
      <c r="H104" s="2096"/>
      <c r="I104" s="2096"/>
      <c r="J104" s="2096"/>
      <c r="K104" s="2096"/>
      <c r="L104" s="2096"/>
      <c r="M104" s="2096"/>
      <c r="N104" s="2096"/>
      <c r="O104" s="2096"/>
      <c r="P104" s="2096"/>
      <c r="Q104" s="2096"/>
      <c r="R104" s="209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4" t="str">
        <f>IFERROR(INDEX(BR96:BR98,MATCH(F104,$BQ$96:$BQ$98,0))/SUM($BR$96:$BR$98),"")</f>
        <v/>
      </c>
      <c r="P105" s="2135"/>
      <c r="Q105" s="2135"/>
      <c r="R105" s="213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4" t="s">
        <v>2373</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3"/>
      <c r="C108" s="2101"/>
      <c r="D108" s="2101"/>
      <c r="E108" s="2101"/>
      <c r="F108" s="2101"/>
      <c r="G108" s="2101"/>
      <c r="H108" s="2101"/>
      <c r="I108" s="2101" t="s">
        <v>2372</v>
      </c>
      <c r="J108" s="2101"/>
      <c r="K108" s="2101"/>
      <c r="L108" s="2101"/>
      <c r="M108" s="2101"/>
      <c r="N108" s="2101"/>
      <c r="O108" s="2101" t="s">
        <v>2348</v>
      </c>
      <c r="P108" s="2101"/>
      <c r="Q108" s="2101"/>
      <c r="R108" s="2101"/>
      <c r="S108" s="2101"/>
      <c r="T108" s="2101"/>
      <c r="U108" s="2101"/>
      <c r="V108" s="2137" t="s">
        <v>2347</v>
      </c>
      <c r="W108" s="2137"/>
      <c r="X108" s="2137"/>
      <c r="Y108" s="2137"/>
      <c r="Z108" s="2137"/>
      <c r="AA108" s="2137"/>
      <c r="AB108" s="2071" t="s">
        <v>2371</v>
      </c>
      <c r="AC108" s="2071"/>
      <c r="AD108" s="2071"/>
      <c r="AE108" s="2071"/>
      <c r="AF108" s="2071"/>
      <c r="AG108" s="2071"/>
      <c r="AH108" s="213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3"/>
      <c r="C109" s="2101"/>
      <c r="D109" s="2101"/>
      <c r="E109" s="2101"/>
      <c r="F109" s="2101"/>
      <c r="G109" s="2101"/>
      <c r="H109" s="2101"/>
      <c r="I109" s="2101"/>
      <c r="J109" s="2101"/>
      <c r="K109" s="2101"/>
      <c r="L109" s="2101"/>
      <c r="M109" s="2101"/>
      <c r="N109" s="2101"/>
      <c r="O109" s="2101"/>
      <c r="P109" s="2101"/>
      <c r="Q109" s="2101"/>
      <c r="R109" s="2101"/>
      <c r="S109" s="2101"/>
      <c r="T109" s="2101"/>
      <c r="U109" s="2101"/>
      <c r="V109" s="2137"/>
      <c r="W109" s="2137"/>
      <c r="X109" s="2137"/>
      <c r="Y109" s="2137"/>
      <c r="Z109" s="2137"/>
      <c r="AA109" s="2137"/>
      <c r="AB109" s="2071"/>
      <c r="AC109" s="2071"/>
      <c r="AD109" s="2071"/>
      <c r="AE109" s="2071"/>
      <c r="AF109" s="2071"/>
      <c r="AG109" s="2071"/>
      <c r="AH109" s="213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3" t="s">
        <v>2370</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3" t="s">
        <v>2369</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1" t="s">
        <v>2368</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5"/>
      <c r="G115" s="2096"/>
      <c r="H115" s="2096"/>
      <c r="I115" s="2096"/>
      <c r="J115" s="2096"/>
      <c r="K115" s="2096"/>
      <c r="L115" s="2096"/>
      <c r="M115" s="2096"/>
      <c r="N115" s="2096"/>
      <c r="O115" s="2096"/>
      <c r="P115" s="2096"/>
      <c r="Q115" s="2096"/>
      <c r="R115" s="209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6" t="s">
        <v>2366</v>
      </c>
      <c r="C117" s="2107"/>
      <c r="D117" s="2107"/>
      <c r="E117" s="2107"/>
      <c r="F117" s="2107"/>
      <c r="G117" s="2107"/>
      <c r="H117" s="2107"/>
      <c r="I117" s="2107"/>
      <c r="J117" s="2107"/>
      <c r="K117" s="2107"/>
      <c r="L117" s="2107"/>
      <c r="M117" s="2107"/>
      <c r="N117" s="2107"/>
      <c r="O117" s="2107"/>
      <c r="P117" s="2107"/>
      <c r="Q117" s="2107"/>
      <c r="R117" s="2107"/>
      <c r="S117" s="2107"/>
      <c r="T117" s="2107"/>
      <c r="U117" s="2110" t="s">
        <v>545</v>
      </c>
      <c r="V117" s="2110"/>
      <c r="W117" s="2110"/>
      <c r="X117" s="211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4" t="s">
        <v>2366</v>
      </c>
      <c r="C121" s="2115"/>
      <c r="D121" s="2115"/>
      <c r="E121" s="2115"/>
      <c r="F121" s="2115"/>
      <c r="G121" s="2115"/>
      <c r="H121" s="2115"/>
      <c r="I121" s="2115"/>
      <c r="J121" s="2115"/>
      <c r="K121" s="2115"/>
      <c r="L121" s="2115"/>
      <c r="M121" s="2115"/>
      <c r="N121" s="2115"/>
      <c r="O121" s="2115"/>
      <c r="P121" s="2115"/>
      <c r="Q121" s="2115"/>
      <c r="R121" s="2115"/>
      <c r="S121" s="2115"/>
      <c r="T121" s="2115"/>
      <c r="U121" s="2118" t="s">
        <v>545</v>
      </c>
      <c r="V121" s="2118"/>
      <c r="W121" s="2118"/>
      <c r="X121" s="211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2" t="s">
        <v>2364</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4"/>
    </row>
    <row r="126" spans="1:57" ht="15.75" customHeight="1">
      <c r="A126" s="1190"/>
      <c r="B126" s="2128" t="s">
        <v>1576</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4"/>
    </row>
    <row r="127" spans="1:57" ht="15.75" customHeight="1">
      <c r="A127" s="1190"/>
      <c r="B127" s="2038"/>
      <c r="C127" s="2039"/>
      <c r="D127" s="2039"/>
      <c r="E127" s="2039"/>
      <c r="F127" s="2039"/>
      <c r="G127" s="2039"/>
      <c r="H127" s="2039"/>
      <c r="I127" s="2101" t="s">
        <v>2363</v>
      </c>
      <c r="J127" s="2101"/>
      <c r="K127" s="2101"/>
      <c r="L127" s="2101"/>
      <c r="M127" s="2101"/>
      <c r="N127" s="2101"/>
      <c r="O127" s="2102" t="s">
        <v>2362</v>
      </c>
      <c r="P127" s="2102"/>
      <c r="Q127" s="2102"/>
      <c r="R127" s="2102"/>
      <c r="S127" s="2102"/>
      <c r="T127" s="2102"/>
      <c r="U127" s="2103"/>
      <c r="V127" s="1190"/>
      <c r="W127" s="1190"/>
      <c r="X127" s="2041" t="s">
        <v>2332</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4"/>
    </row>
    <row r="128" spans="1:57" ht="15.75" customHeight="1">
      <c r="A128" s="1190"/>
      <c r="B128" s="2072" t="s">
        <v>2346</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0"/>
      <c r="W128" s="1190"/>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4"/>
    </row>
    <row r="129" spans="1:57" ht="15.75" customHeight="1" thickBot="1">
      <c r="A129" s="1190"/>
      <c r="B129" s="2066" t="s">
        <v>2345</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0"/>
      <c r="W129" s="1190"/>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4"/>
    </row>
    <row r="133" spans="1:57" ht="15.75" customHeight="1">
      <c r="A133" s="1190"/>
      <c r="B133" s="2098" t="s">
        <v>2360</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0"/>
      <c r="W133" s="1190"/>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4"/>
    </row>
    <row r="134" spans="1:57" ht="15.75" customHeight="1">
      <c r="A134" s="1190"/>
      <c r="B134" s="2038"/>
      <c r="C134" s="2039"/>
      <c r="D134" s="2039"/>
      <c r="E134" s="2039"/>
      <c r="F134" s="2039"/>
      <c r="G134" s="2039"/>
      <c r="H134" s="2039"/>
      <c r="I134" s="2076" t="s">
        <v>2348</v>
      </c>
      <c r="J134" s="2076"/>
      <c r="K134" s="2076"/>
      <c r="L134" s="2076"/>
      <c r="M134" s="2076"/>
      <c r="N134" s="2076"/>
      <c r="O134" s="2076"/>
      <c r="P134" s="2076" t="s">
        <v>2347</v>
      </c>
      <c r="Q134" s="2076"/>
      <c r="R134" s="2076"/>
      <c r="S134" s="2076"/>
      <c r="T134" s="2076"/>
      <c r="U134" s="2077"/>
      <c r="V134" s="1190"/>
      <c r="W134" s="1190"/>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4"/>
    </row>
    <row r="135" spans="1:57" ht="15.75" customHeight="1">
      <c r="A135" s="1190"/>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0"/>
      <c r="W135" s="1190"/>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4"/>
    </row>
    <row r="136" spans="1:57" ht="15.75" customHeight="1">
      <c r="A136" s="1190"/>
      <c r="B136" s="2072" t="s">
        <v>2346</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0"/>
      <c r="W136" s="1190"/>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4"/>
    </row>
    <row r="137" spans="1:57" ht="15.75" customHeight="1" thickBot="1">
      <c r="A137" s="1190"/>
      <c r="B137" s="2066" t="s">
        <v>2345</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0"/>
      <c r="W137" s="1190"/>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3" t="s">
        <v>2359</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545</v>
      </c>
      <c r="AI139" s="2081"/>
      <c r="AJ139" s="2081"/>
      <c r="AK139" s="2081"/>
      <c r="AL139" s="2081"/>
      <c r="AM139" s="2081"/>
      <c r="AN139" s="2081"/>
      <c r="AO139" s="2081"/>
      <c r="AP139" s="2081"/>
      <c r="AQ139" s="2081"/>
      <c r="AR139" s="2081"/>
      <c r="AS139" s="2081"/>
      <c r="AT139" s="2081"/>
      <c r="AU139" s="2081"/>
      <c r="AV139" s="2081"/>
      <c r="AW139" s="2081"/>
      <c r="AX139" s="2082"/>
      <c r="AY139" s="1190"/>
      <c r="AZ139" s="1190"/>
      <c r="BA139" s="1190"/>
      <c r="BB139" s="1190"/>
      <c r="BC139" s="1190"/>
      <c r="BD139" s="1190"/>
      <c r="BE139" s="1194"/>
    </row>
    <row r="140" spans="1:57" ht="15.75" customHeight="1" thickBot="1">
      <c r="A140" s="1190"/>
      <c r="B140" s="2078" t="s">
        <v>2358</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0"/>
      <c r="AZ140" s="1190"/>
      <c r="BA140" s="1190"/>
      <c r="BB140" s="1190"/>
      <c r="BC140" s="1190"/>
      <c r="BD140" s="1190"/>
      <c r="BE140" s="1194"/>
    </row>
    <row r="141" spans="1:57" ht="15.75" customHeight="1">
      <c r="A141" s="1190"/>
      <c r="B141" s="2078" t="s">
        <v>2357</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545</v>
      </c>
      <c r="AI141" s="2081"/>
      <c r="AJ141" s="2081"/>
      <c r="AK141" s="2081"/>
      <c r="AL141" s="2081"/>
      <c r="AM141" s="2081"/>
      <c r="AN141" s="2081"/>
      <c r="AO141" s="2081"/>
      <c r="AP141" s="2081"/>
      <c r="AQ141" s="2081"/>
      <c r="AR141" s="2081"/>
      <c r="AS141" s="2081"/>
      <c r="AT141" s="2081"/>
      <c r="AU141" s="2081"/>
      <c r="AV141" s="2081"/>
      <c r="AW141" s="2081"/>
      <c r="AX141" s="2082"/>
      <c r="AY141" s="1190"/>
      <c r="AZ141" s="1190"/>
      <c r="BA141" s="1190"/>
      <c r="BB141" s="1190"/>
      <c r="BC141" s="1190"/>
      <c r="BD141" s="1190"/>
      <c r="BE141" s="1194"/>
    </row>
    <row r="142" spans="1:57" ht="15.75" customHeight="1">
      <c r="A142" s="1190"/>
      <c r="B142" s="2083" t="s">
        <v>2356</v>
      </c>
      <c r="C142" s="2084"/>
      <c r="D142" s="2084"/>
      <c r="E142" s="2084"/>
      <c r="F142" s="2084"/>
      <c r="G142" s="2084"/>
      <c r="H142" s="2084"/>
      <c r="I142" s="2084"/>
      <c r="J142" s="2084"/>
      <c r="K142" s="2084"/>
      <c r="L142" s="2084"/>
      <c r="M142" s="2084"/>
      <c r="N142" s="2084"/>
      <c r="O142" s="2084"/>
      <c r="P142" s="2084"/>
      <c r="Q142" s="2084"/>
      <c r="R142" s="2085" t="s">
        <v>2355</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0"/>
      <c r="AZ142" s="1190"/>
      <c r="BA142" s="1190"/>
      <c r="BB142" s="1190"/>
      <c r="BC142" s="1190" t="s">
        <v>249</v>
      </c>
      <c r="BD142" s="1190"/>
      <c r="BE142" s="1194"/>
    </row>
    <row r="143" spans="1:57" ht="15.75" customHeight="1">
      <c r="A143" s="1190"/>
      <c r="B143" s="2087" t="s">
        <v>2354</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0"/>
      <c r="AZ143" s="1190"/>
      <c r="BA143" s="1190"/>
      <c r="BB143" s="1190"/>
      <c r="BC143" s="1190"/>
      <c r="BD143" s="1190"/>
      <c r="BE143" s="1194"/>
    </row>
    <row r="144" spans="1:57" ht="15.75" customHeight="1">
      <c r="A144" s="1190"/>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0"/>
      <c r="AZ144" s="1190"/>
      <c r="BA144" s="1190"/>
      <c r="BB144" s="1190"/>
      <c r="BC144" s="1190"/>
      <c r="BD144" s="1190"/>
      <c r="BE144" s="1194"/>
    </row>
    <row r="145" spans="1:57" ht="15.75" customHeight="1">
      <c r="A145" s="1190"/>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0"/>
      <c r="AZ145" s="1190"/>
      <c r="BA145" s="1190"/>
      <c r="BB145" s="1190"/>
      <c r="BC145" s="1190"/>
      <c r="BD145" s="1190"/>
      <c r="BE145" s="1194"/>
    </row>
    <row r="146" spans="1:57" ht="15.75" customHeight="1">
      <c r="A146" s="1190"/>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0"/>
      <c r="AZ146" s="1190"/>
      <c r="BA146" s="1190"/>
      <c r="BB146" s="1190"/>
      <c r="BC146" s="1190"/>
      <c r="BD146" s="1190"/>
      <c r="BE146" s="1194"/>
    </row>
    <row r="147" spans="1:57" ht="15.75" customHeight="1">
      <c r="A147" s="1190"/>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0"/>
      <c r="AZ147" s="1190"/>
      <c r="BA147" s="1190"/>
      <c r="BB147" s="1190"/>
      <c r="BC147" s="1190"/>
      <c r="BD147" s="1190"/>
      <c r="BE147" s="1194"/>
    </row>
    <row r="148" spans="1:57" ht="15.75" customHeight="1">
      <c r="A148" s="1190"/>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0"/>
      <c r="AZ148" s="1190"/>
      <c r="BA148" s="1190"/>
      <c r="BB148" s="1190"/>
      <c r="BC148" s="1190"/>
      <c r="BD148" s="1190"/>
      <c r="BE148" s="1194"/>
    </row>
    <row r="149" spans="1:57" ht="15.75" customHeight="1">
      <c r="A149" s="1190"/>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0"/>
      <c r="AZ149" s="1190"/>
      <c r="BA149" s="1190"/>
      <c r="BB149" s="1190"/>
      <c r="BC149" s="1190"/>
      <c r="BD149" s="1190"/>
      <c r="BE149" s="1194"/>
    </row>
    <row r="150" spans="1:57" ht="15.75" customHeight="1">
      <c r="A150" s="1190"/>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0"/>
      <c r="AZ150" s="1190"/>
      <c r="BA150" s="1190"/>
      <c r="BB150" s="1190"/>
      <c r="BC150" s="1190"/>
      <c r="BD150" s="1190"/>
      <c r="BE150" s="1194"/>
    </row>
    <row r="151" spans="1:57" ht="15.75" customHeight="1">
      <c r="A151" s="1190"/>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0"/>
      <c r="AZ151" s="1190"/>
      <c r="BA151" s="1190"/>
      <c r="BB151" s="1190"/>
      <c r="BC151" s="1190"/>
      <c r="BD151" s="1190"/>
      <c r="BE151" s="1194"/>
    </row>
    <row r="152" spans="1:57" ht="15.75" customHeight="1" thickBot="1">
      <c r="A152" s="1190"/>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0" t="s">
        <v>2351</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0"/>
      <c r="W156" s="1192"/>
      <c r="X156" s="2070" t="s">
        <v>2350</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8"/>
      <c r="C157" s="2039"/>
      <c r="D157" s="2039"/>
      <c r="E157" s="2039"/>
      <c r="F157" s="2039"/>
      <c r="G157" s="2039"/>
      <c r="H157" s="2039"/>
      <c r="I157" s="2076" t="s">
        <v>2348</v>
      </c>
      <c r="J157" s="2076"/>
      <c r="K157" s="2076"/>
      <c r="L157" s="2076"/>
      <c r="M157" s="2076"/>
      <c r="N157" s="2076"/>
      <c r="O157" s="2076"/>
      <c r="P157" s="2076" t="s">
        <v>2349</v>
      </c>
      <c r="Q157" s="2076"/>
      <c r="R157" s="2076"/>
      <c r="S157" s="2076"/>
      <c r="T157" s="2076"/>
      <c r="U157" s="2077"/>
      <c r="V157" s="1190"/>
      <c r="W157" s="1190"/>
      <c r="X157" s="2038"/>
      <c r="Y157" s="2039"/>
      <c r="Z157" s="2039"/>
      <c r="AA157" s="2039"/>
      <c r="AB157" s="2039"/>
      <c r="AC157" s="2039"/>
      <c r="AD157" s="2039"/>
      <c r="AE157" s="2076" t="s">
        <v>2348</v>
      </c>
      <c r="AF157" s="2076"/>
      <c r="AG157" s="2076"/>
      <c r="AH157" s="2076"/>
      <c r="AI157" s="2076"/>
      <c r="AJ157" s="2076"/>
      <c r="AK157" s="2076"/>
      <c r="AL157" s="2076" t="s">
        <v>2347</v>
      </c>
      <c r="AM157" s="2076"/>
      <c r="AN157" s="2076"/>
      <c r="AO157" s="2076"/>
      <c r="AP157" s="2076"/>
      <c r="AQ157" s="2077"/>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0"/>
      <c r="W158" s="1190"/>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2" t="s">
        <v>2346</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0"/>
      <c r="W159" s="1190"/>
      <c r="X159" s="2066" t="s">
        <v>2346</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6" t="s">
        <v>2345</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0" t="s">
        <v>2344</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8" t="s">
        <v>2329</v>
      </c>
      <c r="D163" s="2039"/>
      <c r="E163" s="2039"/>
      <c r="F163" s="2039"/>
      <c r="G163" s="2039"/>
      <c r="H163" s="2039"/>
      <c r="I163" s="2039"/>
      <c r="J163" s="2039"/>
      <c r="K163" s="2039"/>
      <c r="L163" s="2039"/>
      <c r="M163" s="2039"/>
      <c r="N163" s="2039"/>
      <c r="O163" s="2039"/>
      <c r="P163" s="2039"/>
      <c r="Q163" s="2039" t="s">
        <v>2343</v>
      </c>
      <c r="R163" s="2039"/>
      <c r="S163" s="2039"/>
      <c r="T163" s="2071" t="s">
        <v>2342</v>
      </c>
      <c r="U163" s="2071"/>
      <c r="V163" s="2071"/>
      <c r="W163" s="2071"/>
      <c r="X163" s="2071"/>
      <c r="Y163" s="2071"/>
      <c r="Z163" s="2071"/>
      <c r="AA163" s="2071"/>
      <c r="AB163" s="2039" t="s">
        <v>2341</v>
      </c>
      <c r="AC163" s="2039"/>
      <c r="AD163" s="2039"/>
      <c r="AE163" s="2039"/>
      <c r="AF163" s="2039"/>
      <c r="AG163" s="204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3" t="s">
        <v>2340</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3" t="s">
        <v>2339</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3" t="s">
        <v>2338</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3" t="s">
        <v>2337</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3" t="s">
        <v>169</v>
      </c>
      <c r="D168" s="2054"/>
      <c r="E168" s="2054"/>
      <c r="F168" s="2055" t="s">
        <v>2318</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3" t="s">
        <v>169</v>
      </c>
      <c r="D169" s="2054"/>
      <c r="E169" s="2054"/>
      <c r="F169" s="2055" t="s">
        <v>2318</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9" t="s">
        <v>169</v>
      </c>
      <c r="D170" s="2060"/>
      <c r="E170" s="2060"/>
      <c r="F170" s="2061" t="s">
        <v>2318</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4" t="s">
        <v>2336</v>
      </c>
      <c r="D172" s="2025"/>
      <c r="E172" s="2025"/>
      <c r="F172" s="2025"/>
      <c r="G172" s="2025"/>
      <c r="H172" s="2025"/>
      <c r="I172" s="2025"/>
      <c r="J172" s="2025"/>
      <c r="K172" s="2025"/>
      <c r="L172" s="2025"/>
      <c r="M172" s="2025"/>
      <c r="N172" s="2034"/>
      <c r="O172" s="1190"/>
      <c r="P172" s="2035" t="s">
        <v>2335</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8" t="s">
        <v>2334</v>
      </c>
      <c r="D173" s="2039"/>
      <c r="E173" s="2039"/>
      <c r="F173" s="2039"/>
      <c r="G173" s="2039"/>
      <c r="H173" s="2039"/>
      <c r="I173" s="2039" t="s">
        <v>2333</v>
      </c>
      <c r="J173" s="2039"/>
      <c r="K173" s="2039"/>
      <c r="L173" s="2039"/>
      <c r="M173" s="2039"/>
      <c r="N173" s="2040"/>
      <c r="O173" s="1190"/>
      <c r="P173" s="2041" t="s">
        <v>2332</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6"/>
      <c r="D174" s="1987"/>
      <c r="E174" s="1987"/>
      <c r="F174" s="1987"/>
      <c r="G174" s="1987"/>
      <c r="H174" s="1987"/>
      <c r="I174" s="2047"/>
      <c r="J174" s="2047"/>
      <c r="K174" s="2047"/>
      <c r="L174" s="2047"/>
      <c r="M174" s="2047"/>
      <c r="N174" s="2048"/>
      <c r="O174" s="1190"/>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6"/>
      <c r="D175" s="1987"/>
      <c r="E175" s="1987"/>
      <c r="F175" s="1987"/>
      <c r="G175" s="1987"/>
      <c r="H175" s="1987"/>
      <c r="I175" s="2047"/>
      <c r="J175" s="2047"/>
      <c r="K175" s="2047"/>
      <c r="L175" s="2047"/>
      <c r="M175" s="2047"/>
      <c r="N175" s="2048"/>
      <c r="O175" s="1190"/>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6"/>
      <c r="D176" s="1987"/>
      <c r="E176" s="1987"/>
      <c r="F176" s="1987"/>
      <c r="G176" s="1987"/>
      <c r="H176" s="1987"/>
      <c r="I176" s="2047"/>
      <c r="J176" s="2047"/>
      <c r="K176" s="2047"/>
      <c r="L176" s="2047"/>
      <c r="M176" s="2047"/>
      <c r="N176" s="2048"/>
      <c r="O176" s="1190"/>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6"/>
      <c r="D177" s="1987"/>
      <c r="E177" s="1987"/>
      <c r="F177" s="1987"/>
      <c r="G177" s="1987"/>
      <c r="H177" s="1987"/>
      <c r="I177" s="2047"/>
      <c r="J177" s="2047"/>
      <c r="K177" s="2047"/>
      <c r="L177" s="2047"/>
      <c r="M177" s="2047"/>
      <c r="N177" s="2048"/>
      <c r="O177" s="1190"/>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6"/>
      <c r="D178" s="1987"/>
      <c r="E178" s="1987"/>
      <c r="F178" s="1987"/>
      <c r="G178" s="1987"/>
      <c r="H178" s="1987"/>
      <c r="I178" s="2047"/>
      <c r="J178" s="2047"/>
      <c r="K178" s="2047"/>
      <c r="L178" s="2047"/>
      <c r="M178" s="2047"/>
      <c r="N178" s="2048"/>
      <c r="O178" s="1190"/>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6"/>
      <c r="D179" s="1987"/>
      <c r="E179" s="1987"/>
      <c r="F179" s="1987"/>
      <c r="G179" s="1987"/>
      <c r="H179" s="1987"/>
      <c r="I179" s="2047"/>
      <c r="J179" s="2047"/>
      <c r="K179" s="2047"/>
      <c r="L179" s="2047"/>
      <c r="M179" s="2047"/>
      <c r="N179" s="2048"/>
      <c r="O179" s="1190"/>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9"/>
      <c r="D180" s="2050"/>
      <c r="E180" s="2050"/>
      <c r="F180" s="2050"/>
      <c r="G180" s="2050"/>
      <c r="H180" s="2050"/>
      <c r="I180" s="2051"/>
      <c r="J180" s="2051"/>
      <c r="K180" s="2051"/>
      <c r="L180" s="2051"/>
      <c r="M180" s="2051"/>
      <c r="N180" s="2052"/>
      <c r="O180" s="1190"/>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5" t="s">
        <v>2331</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0"/>
      <c r="AG182" s="1190"/>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0"/>
      <c r="B183" s="1190"/>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0"/>
      <c r="AG183" s="1190"/>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0"/>
      <c r="B184" s="1190"/>
      <c r="C184" s="2024" t="s">
        <v>2329</v>
      </c>
      <c r="D184" s="2025"/>
      <c r="E184" s="2025"/>
      <c r="F184" s="2025"/>
      <c r="G184" s="2025"/>
      <c r="H184" s="2025"/>
      <c r="I184" s="2025"/>
      <c r="J184" s="2025"/>
      <c r="K184" s="2025"/>
      <c r="L184" s="2025"/>
      <c r="M184" s="2025"/>
      <c r="N184" s="2025" t="s">
        <v>2330</v>
      </c>
      <c r="O184" s="2025"/>
      <c r="P184" s="2025"/>
      <c r="Q184" s="2025"/>
      <c r="R184" s="2025"/>
      <c r="S184" s="2025"/>
      <c r="T184" s="2025"/>
      <c r="U184" s="2026" t="s">
        <v>2329</v>
      </c>
      <c r="V184" s="2026"/>
      <c r="W184" s="2026"/>
      <c r="X184" s="2026"/>
      <c r="Y184" s="2026"/>
      <c r="Z184" s="2026"/>
      <c r="AA184" s="2026"/>
      <c r="AB184" s="2026"/>
      <c r="AC184" s="2026"/>
      <c r="AD184" s="2026"/>
      <c r="AE184" s="2027"/>
      <c r="AF184" s="1190"/>
      <c r="AG184" s="1190"/>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0"/>
      <c r="B185" s="1190"/>
      <c r="C185" s="2003" t="s">
        <v>2328</v>
      </c>
      <c r="D185" s="2004"/>
      <c r="E185" s="2004"/>
      <c r="F185" s="2004"/>
      <c r="G185" s="2004"/>
      <c r="H185" s="2004"/>
      <c r="I185" s="2004"/>
      <c r="J185" s="2004"/>
      <c r="K185" s="2004"/>
      <c r="L185" s="2004"/>
      <c r="M185" s="2004"/>
      <c r="N185" s="2014">
        <f>'Sources and Uses Budget'!B105</f>
        <v>81702348</v>
      </c>
      <c r="O185" s="2014"/>
      <c r="P185" s="2014"/>
      <c r="Q185" s="2014"/>
      <c r="R185" s="2014"/>
      <c r="S185" s="2014"/>
      <c r="T185" s="2014"/>
      <c r="U185" s="2028"/>
      <c r="V185" s="2028"/>
      <c r="W185" s="2028"/>
      <c r="X185" s="2028"/>
      <c r="Y185" s="2028"/>
      <c r="Z185" s="2028"/>
      <c r="AA185" s="2028"/>
      <c r="AB185" s="2028"/>
      <c r="AC185" s="2028"/>
      <c r="AD185" s="2028"/>
      <c r="AE185" s="2029"/>
      <c r="AF185" s="1190"/>
      <c r="AG185" s="1190"/>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0"/>
      <c r="B186" s="1190"/>
      <c r="C186" s="2003" t="s">
        <v>2327</v>
      </c>
      <c r="D186" s="2004"/>
      <c r="E186" s="2004"/>
      <c r="F186" s="2004"/>
      <c r="G186" s="2004"/>
      <c r="H186" s="2004"/>
      <c r="I186" s="2004"/>
      <c r="J186" s="2004"/>
      <c r="K186" s="2004"/>
      <c r="L186" s="2004"/>
      <c r="M186" s="2004"/>
      <c r="N186" s="2014">
        <f>N185/J29</f>
        <v>842292.24742268038</v>
      </c>
      <c r="O186" s="2014"/>
      <c r="P186" s="2014"/>
      <c r="Q186" s="2014"/>
      <c r="R186" s="2014"/>
      <c r="S186" s="2014"/>
      <c r="T186" s="2014"/>
      <c r="U186" s="1228"/>
      <c r="V186" s="1228"/>
      <c r="W186" s="1228"/>
      <c r="X186" s="1228"/>
      <c r="Y186" s="1228"/>
      <c r="Z186" s="1228"/>
      <c r="AA186" s="1228"/>
      <c r="AB186" s="1228"/>
      <c r="AC186" s="1228"/>
      <c r="AD186" s="1228"/>
      <c r="AE186" s="1229"/>
      <c r="AF186" s="1190"/>
      <c r="AG186" s="1190"/>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0"/>
      <c r="B187" s="1190"/>
      <c r="C187" s="2030" t="s">
        <v>2326</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0"/>
      <c r="AG187" s="1190"/>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0"/>
      <c r="B188" s="1190"/>
      <c r="C188" s="2003" t="s">
        <v>2325</v>
      </c>
      <c r="D188" s="2004"/>
      <c r="E188" s="2004"/>
      <c r="F188" s="2004"/>
      <c r="G188" s="2004"/>
      <c r="H188" s="2004"/>
      <c r="I188" s="2004"/>
      <c r="J188" s="2004"/>
      <c r="K188" s="2004"/>
      <c r="L188" s="2004"/>
      <c r="M188" s="2004"/>
      <c r="N188" s="2033">
        <f>SUM('Sources and Uses Budget'!B85:B86)</f>
        <v>1729860</v>
      </c>
      <c r="O188" s="2033"/>
      <c r="P188" s="2033"/>
      <c r="Q188" s="2033"/>
      <c r="R188" s="2033"/>
      <c r="S188" s="2033"/>
      <c r="T188" s="2033"/>
      <c r="U188" s="1990"/>
      <c r="V188" s="1990"/>
      <c r="W188" s="1990"/>
      <c r="X188" s="1990"/>
      <c r="Y188" s="1990"/>
      <c r="Z188" s="1990"/>
      <c r="AA188" s="1990"/>
      <c r="AB188" s="1990"/>
      <c r="AC188" s="1990"/>
      <c r="AD188" s="1990"/>
      <c r="AE188" s="1991"/>
      <c r="AF188" s="1190"/>
      <c r="AG188" s="1190"/>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0"/>
      <c r="B189" s="1190"/>
      <c r="C189" s="2003" t="s">
        <v>2324</v>
      </c>
      <c r="D189" s="2004"/>
      <c r="E189" s="2004"/>
      <c r="F189" s="2004"/>
      <c r="G189" s="2004"/>
      <c r="H189" s="2004"/>
      <c r="I189" s="2004"/>
      <c r="J189" s="2004"/>
      <c r="K189" s="2004"/>
      <c r="L189" s="2004"/>
      <c r="M189" s="2004"/>
      <c r="N189" s="2033">
        <f>'Sources and Uses Budget'!B8</f>
        <v>2025000</v>
      </c>
      <c r="O189" s="2033"/>
      <c r="P189" s="2033"/>
      <c r="Q189" s="2033"/>
      <c r="R189" s="2033"/>
      <c r="S189" s="2033"/>
      <c r="T189" s="2033"/>
      <c r="U189" s="1990"/>
      <c r="V189" s="1990"/>
      <c r="W189" s="1990"/>
      <c r="X189" s="1990"/>
      <c r="Y189" s="1990"/>
      <c r="Z189" s="1990"/>
      <c r="AA189" s="1990"/>
      <c r="AB189" s="1990"/>
      <c r="AC189" s="1990"/>
      <c r="AD189" s="1990"/>
      <c r="AE189" s="1991"/>
      <c r="AF189" s="1190"/>
      <c r="AG189" s="1190"/>
      <c r="AH189" s="2000" t="s">
        <v>2322</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0"/>
      <c r="B190" s="1190"/>
      <c r="C190" s="2003" t="s">
        <v>2323</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0"/>
      <c r="AG190" s="1190"/>
      <c r="AH190" s="2005" t="s">
        <v>2322</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0"/>
      <c r="B191" s="1190"/>
      <c r="C191" s="2003" t="s">
        <v>2321</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0"/>
      <c r="AG191" s="1190"/>
      <c r="AH191" s="2021" t="s">
        <v>2320</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0"/>
      <c r="B192" s="1190"/>
      <c r="C192" s="1995" t="s">
        <v>299</v>
      </c>
      <c r="D192" s="1996"/>
      <c r="E192" s="1988" t="s">
        <v>2318</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0"/>
      <c r="AG192" s="1190"/>
      <c r="AH192" s="1997" t="s">
        <v>2319</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0"/>
      <c r="B193" s="1190"/>
      <c r="C193" s="1986" t="s">
        <v>299</v>
      </c>
      <c r="D193" s="1987"/>
      <c r="E193" s="1988" t="s">
        <v>2318</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2"/>
      <c r="BD193" s="1993"/>
      <c r="BE193" s="1994"/>
    </row>
    <row r="194" spans="1:57" ht="15.75" customHeight="1" thickBot="1">
      <c r="A194" s="1190"/>
      <c r="B194" s="1190"/>
      <c r="C194" s="1974" t="s">
        <v>299</v>
      </c>
      <c r="D194" s="1975"/>
      <c r="E194" s="1976" t="s">
        <v>2318</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0"/>
      <c r="AG194" s="1190"/>
      <c r="AH194" s="1983" t="s">
        <v>2317</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1"/>
      <c r="BD194" s="1171"/>
      <c r="BE194" s="1232"/>
    </row>
    <row r="195" spans="1:57" ht="15.75" customHeight="1">
      <c r="A195" s="1190"/>
      <c r="B195" s="1190"/>
      <c r="C195" s="1957" t="s">
        <v>2316</v>
      </c>
      <c r="D195" s="1958"/>
      <c r="E195" s="1958"/>
      <c r="F195" s="1958"/>
      <c r="G195" s="1958"/>
      <c r="H195" s="1958"/>
      <c r="I195" s="1958"/>
      <c r="J195" s="1958"/>
      <c r="K195" s="1958"/>
      <c r="L195" s="1958"/>
      <c r="M195" s="1958"/>
      <c r="N195" s="1959">
        <f>SUM(N187:T194)</f>
        <v>3754860</v>
      </c>
      <c r="O195" s="1959"/>
      <c r="P195" s="1959"/>
      <c r="Q195" s="1959"/>
      <c r="R195" s="1959"/>
      <c r="S195" s="1959"/>
      <c r="T195" s="1960"/>
      <c r="U195" s="1190"/>
      <c r="V195" s="1190"/>
      <c r="W195" s="1190"/>
      <c r="X195" s="1190"/>
      <c r="Y195" s="1190"/>
      <c r="Z195" s="1190"/>
      <c r="AA195" s="1190"/>
      <c r="AB195" s="1190"/>
      <c r="AC195" s="1190"/>
      <c r="AD195" s="1190"/>
      <c r="AE195" s="1190"/>
      <c r="AF195" s="1190"/>
      <c r="AG195" s="1190"/>
      <c r="AH195" s="1961" t="s">
        <v>2315</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0"/>
      <c r="B196" s="1190"/>
      <c r="C196" s="1967" t="s">
        <v>2314</v>
      </c>
      <c r="D196" s="1968"/>
      <c r="E196" s="1968"/>
      <c r="F196" s="1968"/>
      <c r="G196" s="1968"/>
      <c r="H196" s="1968"/>
      <c r="I196" s="1968"/>
      <c r="J196" s="1968"/>
      <c r="K196" s="1968"/>
      <c r="L196" s="1968"/>
      <c r="M196" s="1968"/>
      <c r="N196" s="1969">
        <f>(N185-N195)/J29</f>
        <v>803582.35051546397</v>
      </c>
      <c r="O196" s="1970"/>
      <c r="P196" s="1970"/>
      <c r="Q196" s="1970"/>
      <c r="R196" s="1970"/>
      <c r="S196" s="1970"/>
      <c r="T196" s="1971"/>
      <c r="U196" s="1195"/>
      <c r="V196" s="1190"/>
      <c r="W196" s="1190"/>
      <c r="X196" s="1190"/>
      <c r="Y196" s="1190"/>
      <c r="Z196" s="1190"/>
      <c r="AA196" s="1190"/>
      <c r="AB196" s="1190"/>
      <c r="AC196" s="1190"/>
      <c r="AD196" s="1190"/>
      <c r="AE196" s="1190"/>
      <c r="AF196" s="1190"/>
      <c r="AG196" s="1190"/>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2" t="s">
        <v>2313</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5" t="s">
        <v>2312</v>
      </c>
      <c r="D200" s="1955"/>
      <c r="E200" s="1955"/>
      <c r="F200" s="1955"/>
      <c r="G200" s="1955"/>
      <c r="H200" s="1955"/>
      <c r="I200" s="1955"/>
      <c r="J200" s="1955"/>
      <c r="K200" s="1955"/>
      <c r="L200" s="1955"/>
      <c r="M200" s="1955"/>
      <c r="N200" s="1955"/>
      <c r="O200" s="1956" t="s">
        <v>2311</v>
      </c>
      <c r="P200" s="1956"/>
      <c r="Q200" s="1956"/>
      <c r="R200" s="1956"/>
      <c r="S200" s="1956"/>
      <c r="T200" s="1956"/>
      <c r="U200" s="1956"/>
      <c r="V200" s="1956"/>
      <c r="W200" s="1956"/>
      <c r="X200" s="1956" t="s">
        <v>2310</v>
      </c>
      <c r="Y200" s="1956"/>
      <c r="Z200" s="1956"/>
      <c r="AA200" s="1956"/>
      <c r="AB200" s="1956"/>
      <c r="AC200" s="1956"/>
      <c r="AD200" s="1956"/>
      <c r="AE200" s="19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7" t="s">
        <v>2309</v>
      </c>
      <c r="D201" s="1947"/>
      <c r="E201" s="1947"/>
      <c r="F201" s="1947"/>
      <c r="G201" s="1947"/>
      <c r="H201" s="1947"/>
      <c r="I201" s="1947"/>
      <c r="J201" s="1947"/>
      <c r="K201" s="1947"/>
      <c r="L201" s="1947"/>
      <c r="M201" s="1947"/>
      <c r="N201" s="1947"/>
      <c r="O201" s="1948" t="s">
        <v>2308</v>
      </c>
      <c r="P201" s="1948"/>
      <c r="Q201" s="1948"/>
      <c r="R201" s="1948"/>
      <c r="S201" s="1948"/>
      <c r="T201" s="1948"/>
      <c r="U201" s="1948"/>
      <c r="V201" s="1948"/>
      <c r="W201" s="1948"/>
      <c r="X201" s="1949">
        <v>0.03</v>
      </c>
      <c r="Y201" s="1949"/>
      <c r="Z201" s="1949"/>
      <c r="AA201" s="1949"/>
      <c r="AB201" s="1949"/>
      <c r="AC201" s="1949"/>
      <c r="AD201" s="1949"/>
      <c r="AE201" s="19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7" t="s">
        <v>854</v>
      </c>
      <c r="D202" s="1947"/>
      <c r="E202" s="1947"/>
      <c r="F202" s="1947"/>
      <c r="G202" s="1947"/>
      <c r="H202" s="1947"/>
      <c r="I202" s="1947"/>
      <c r="J202" s="1947"/>
      <c r="K202" s="1947"/>
      <c r="L202" s="1947"/>
      <c r="M202" s="1947"/>
      <c r="N202" s="1947"/>
      <c r="O202" s="1948" t="s">
        <v>2308</v>
      </c>
      <c r="P202" s="1948"/>
      <c r="Q202" s="1948"/>
      <c r="R202" s="1948"/>
      <c r="S202" s="1948"/>
      <c r="T202" s="1948"/>
      <c r="U202" s="1948"/>
      <c r="V202" s="1948"/>
      <c r="W202" s="1948"/>
      <c r="X202" s="1949">
        <v>0.03</v>
      </c>
      <c r="Y202" s="1949"/>
      <c r="Z202" s="1949"/>
      <c r="AA202" s="1949"/>
      <c r="AB202" s="1949"/>
      <c r="AC202" s="1949"/>
      <c r="AD202" s="1949"/>
      <c r="AE202" s="19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7" t="s">
        <v>2307</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2306</v>
      </c>
      <c r="Y203" s="1951"/>
      <c r="Z203" s="1951"/>
      <c r="AA203" s="1951"/>
      <c r="AB203" s="1951"/>
      <c r="AC203" s="1951"/>
      <c r="AD203" s="1951"/>
      <c r="AE203" s="19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1" t="s">
        <v>2305</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2" t="s">
        <v>2304</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5" t="s">
        <v>2303</v>
      </c>
      <c r="D207" s="1926"/>
      <c r="E207" s="1926"/>
      <c r="F207" s="1927"/>
      <c r="G207" s="1931" t="s">
        <v>2302</v>
      </c>
      <c r="H207" s="1926"/>
      <c r="I207" s="1926"/>
      <c r="J207" s="1926"/>
      <c r="K207" s="1926"/>
      <c r="L207" s="1926"/>
      <c r="M207" s="1926"/>
      <c r="N207" s="1926"/>
      <c r="O207" s="1927"/>
      <c r="P207" s="1933" t="s">
        <v>2301</v>
      </c>
      <c r="Q207" s="1934"/>
      <c r="R207" s="1934"/>
      <c r="S207" s="1934"/>
      <c r="T207" s="1935"/>
      <c r="U207" s="1939" t="s">
        <v>2300</v>
      </c>
      <c r="V207" s="1940"/>
      <c r="W207" s="1940"/>
      <c r="X207" s="1941"/>
      <c r="Y207" s="1939" t="s">
        <v>2299</v>
      </c>
      <c r="Z207" s="1940"/>
      <c r="AA207" s="1940"/>
      <c r="AB207" s="1941"/>
      <c r="AC207" s="1939" t="s">
        <v>2298</v>
      </c>
      <c r="AD207" s="1940"/>
      <c r="AE207" s="1940"/>
      <c r="AF207" s="1941"/>
      <c r="AG207" s="1931" t="s">
        <v>2297</v>
      </c>
      <c r="AH207" s="1926"/>
      <c r="AI207" s="1926"/>
      <c r="AJ207" s="1926"/>
      <c r="AK207" s="194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4">
        <v>1</v>
      </c>
      <c r="D209" s="1915"/>
      <c r="E209" s="1915"/>
      <c r="F209" s="1915"/>
      <c r="G209" s="1916" t="s">
        <v>1885</v>
      </c>
      <c r="H209" s="1916"/>
      <c r="I209" s="1916"/>
      <c r="J209" s="1916"/>
      <c r="K209" s="1916"/>
      <c r="L209" s="1916"/>
      <c r="M209" s="1916"/>
      <c r="N209" s="1916"/>
      <c r="O209" s="1916"/>
      <c r="P209" s="1917"/>
      <c r="Q209" s="1920"/>
      <c r="R209" s="1920"/>
      <c r="S209" s="1920"/>
      <c r="T209" s="1920"/>
      <c r="U209" s="1918" t="s">
        <v>1885</v>
      </c>
      <c r="V209" s="1918"/>
      <c r="W209" s="1918"/>
      <c r="X209" s="1918"/>
      <c r="Y209" s="1918" t="s">
        <v>1885</v>
      </c>
      <c r="Z209" s="1918"/>
      <c r="AA209" s="1918"/>
      <c r="AB209" s="1918"/>
      <c r="AC209" s="1919" t="s">
        <v>1885</v>
      </c>
      <c r="AD209" s="1919"/>
      <c r="AE209" s="1919"/>
      <c r="AF209" s="1919"/>
      <c r="AG209" s="1903"/>
      <c r="AH209" s="1904"/>
      <c r="AI209" s="1904"/>
      <c r="AJ209" s="1904"/>
      <c r="AK209" s="190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4">
        <v>2</v>
      </c>
      <c r="D210" s="1915"/>
      <c r="E210" s="1915"/>
      <c r="F210" s="1915"/>
      <c r="G210" s="1916" t="s">
        <v>1885</v>
      </c>
      <c r="H210" s="1916"/>
      <c r="I210" s="1916"/>
      <c r="J210" s="1916"/>
      <c r="K210" s="1916"/>
      <c r="L210" s="1916"/>
      <c r="M210" s="1916"/>
      <c r="N210" s="1916"/>
      <c r="O210" s="1916"/>
      <c r="P210" s="1917"/>
      <c r="Q210" s="1917"/>
      <c r="R210" s="1917"/>
      <c r="S210" s="1917"/>
      <c r="T210" s="1917"/>
      <c r="U210" s="1918" t="s">
        <v>1885</v>
      </c>
      <c r="V210" s="1918"/>
      <c r="W210" s="1918"/>
      <c r="X210" s="1918"/>
      <c r="Y210" s="1918" t="s">
        <v>1885</v>
      </c>
      <c r="Z210" s="1918"/>
      <c r="AA210" s="1918"/>
      <c r="AB210" s="1918"/>
      <c r="AC210" s="1919" t="s">
        <v>1885</v>
      </c>
      <c r="AD210" s="1919"/>
      <c r="AE210" s="1919"/>
      <c r="AF210" s="1919"/>
      <c r="AG210" s="1903"/>
      <c r="AH210" s="1904"/>
      <c r="AI210" s="1904"/>
      <c r="AJ210" s="1904"/>
      <c r="AK210" s="190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4">
        <v>3</v>
      </c>
      <c r="D211" s="1915"/>
      <c r="E211" s="1915"/>
      <c r="F211" s="1915"/>
      <c r="G211" s="1916" t="s">
        <v>1885</v>
      </c>
      <c r="H211" s="1916"/>
      <c r="I211" s="1916"/>
      <c r="J211" s="1916"/>
      <c r="K211" s="1916"/>
      <c r="L211" s="1916"/>
      <c r="M211" s="1916"/>
      <c r="N211" s="1916"/>
      <c r="O211" s="1916"/>
      <c r="P211" s="1917"/>
      <c r="Q211" s="1917"/>
      <c r="R211" s="1917"/>
      <c r="S211" s="1917"/>
      <c r="T211" s="1917"/>
      <c r="U211" s="1918" t="s">
        <v>1885</v>
      </c>
      <c r="V211" s="1918"/>
      <c r="W211" s="1918"/>
      <c r="X211" s="1918"/>
      <c r="Y211" s="1918" t="s">
        <v>1885</v>
      </c>
      <c r="Z211" s="1918"/>
      <c r="AA211" s="1918"/>
      <c r="AB211" s="1918"/>
      <c r="AC211" s="1919" t="s">
        <v>1885</v>
      </c>
      <c r="AD211" s="1919"/>
      <c r="AE211" s="1919"/>
      <c r="AF211" s="1919"/>
      <c r="AG211" s="1903"/>
      <c r="AH211" s="1904"/>
      <c r="AI211" s="1904"/>
      <c r="AJ211" s="1904"/>
      <c r="AK211" s="190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4">
        <v>4</v>
      </c>
      <c r="D212" s="1915"/>
      <c r="E212" s="1915"/>
      <c r="F212" s="1915"/>
      <c r="G212" s="1916" t="s">
        <v>1885</v>
      </c>
      <c r="H212" s="1916"/>
      <c r="I212" s="1916"/>
      <c r="J212" s="1916"/>
      <c r="K212" s="1916"/>
      <c r="L212" s="1916"/>
      <c r="M212" s="1916"/>
      <c r="N212" s="1916"/>
      <c r="O212" s="1916"/>
      <c r="P212" s="1917"/>
      <c r="Q212" s="1917"/>
      <c r="R212" s="1917"/>
      <c r="S212" s="1917"/>
      <c r="T212" s="1917"/>
      <c r="U212" s="1918" t="s">
        <v>1885</v>
      </c>
      <c r="V212" s="1918"/>
      <c r="W212" s="1918"/>
      <c r="X212" s="1918"/>
      <c r="Y212" s="1918" t="s">
        <v>1885</v>
      </c>
      <c r="Z212" s="1918"/>
      <c r="AA212" s="1918"/>
      <c r="AB212" s="1918"/>
      <c r="AC212" s="1919" t="s">
        <v>1885</v>
      </c>
      <c r="AD212" s="1919"/>
      <c r="AE212" s="1919"/>
      <c r="AF212" s="1919"/>
      <c r="AG212" s="1903"/>
      <c r="AH212" s="1904"/>
      <c r="AI212" s="1904"/>
      <c r="AJ212" s="1904"/>
      <c r="AK212" s="190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4">
        <v>5</v>
      </c>
      <c r="D213" s="1915"/>
      <c r="E213" s="1915"/>
      <c r="F213" s="1915"/>
      <c r="G213" s="1916" t="s">
        <v>1885</v>
      </c>
      <c r="H213" s="1916"/>
      <c r="I213" s="1916"/>
      <c r="J213" s="1916"/>
      <c r="K213" s="1916"/>
      <c r="L213" s="1916"/>
      <c r="M213" s="1916"/>
      <c r="N213" s="1916"/>
      <c r="O213" s="1916"/>
      <c r="P213" s="1917"/>
      <c r="Q213" s="1917"/>
      <c r="R213" s="1917"/>
      <c r="S213" s="1917"/>
      <c r="T213" s="1917"/>
      <c r="U213" s="1918" t="s">
        <v>1885</v>
      </c>
      <c r="V213" s="1918"/>
      <c r="W213" s="1918"/>
      <c r="X213" s="1918"/>
      <c r="Y213" s="1918" t="s">
        <v>1885</v>
      </c>
      <c r="Z213" s="1918"/>
      <c r="AA213" s="1918"/>
      <c r="AB213" s="1918"/>
      <c r="AC213" s="1919" t="s">
        <v>1885</v>
      </c>
      <c r="AD213" s="1919"/>
      <c r="AE213" s="1919"/>
      <c r="AF213" s="1919"/>
      <c r="AG213" s="1903"/>
      <c r="AH213" s="1904"/>
      <c r="AI213" s="1904"/>
      <c r="AJ213" s="1904"/>
      <c r="AK213" s="190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4">
        <v>6</v>
      </c>
      <c r="D214" s="1915"/>
      <c r="E214" s="1915"/>
      <c r="F214" s="1915"/>
      <c r="G214" s="1916" t="s">
        <v>1885</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1885</v>
      </c>
      <c r="AD214" s="1919"/>
      <c r="AE214" s="1919"/>
      <c r="AF214" s="1919"/>
      <c r="AG214" s="1903"/>
      <c r="AH214" s="1904"/>
      <c r="AI214" s="1904"/>
      <c r="AJ214" s="1904"/>
      <c r="AK214" s="190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1885</v>
      </c>
      <c r="AD215" s="1919"/>
      <c r="AE215" s="1919"/>
      <c r="AF215" s="1919"/>
      <c r="AG215" s="1903"/>
      <c r="AH215" s="1904"/>
      <c r="AI215" s="1904"/>
      <c r="AJ215" s="1904"/>
      <c r="AK215" s="190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6" t="s">
        <v>2296</v>
      </c>
      <c r="D216" s="1907"/>
      <c r="E216" s="1907"/>
      <c r="F216" s="1907"/>
      <c r="G216" s="1907"/>
      <c r="H216" s="1907"/>
      <c r="I216" s="1907"/>
      <c r="J216" s="1907"/>
      <c r="K216" s="1907"/>
      <c r="L216" s="1907"/>
      <c r="M216" s="1907"/>
      <c r="N216" s="1907"/>
      <c r="O216" s="1907"/>
      <c r="P216" s="1908"/>
      <c r="Q216" s="1908"/>
      <c r="R216" s="1908"/>
      <c r="S216" s="1908"/>
      <c r="T216" s="1908"/>
      <c r="U216" s="1909">
        <f>-SUM(U209:U215)</f>
        <v>0</v>
      </c>
      <c r="V216" s="1909"/>
      <c r="W216" s="1909"/>
      <c r="X216" s="1909"/>
      <c r="Y216" s="1909">
        <f>-SUM(Y209:Y215)</f>
        <v>0</v>
      </c>
      <c r="Z216" s="1909"/>
      <c r="AA216" s="1909"/>
      <c r="AB216" s="1909"/>
      <c r="AC216" s="1910">
        <f>-SUM(AC209:AC215)</f>
        <v>0</v>
      </c>
      <c r="AD216" s="1910"/>
      <c r="AE216" s="1910"/>
      <c r="AF216" s="1910"/>
      <c r="AG216" s="1911"/>
      <c r="AH216" s="1912"/>
      <c r="AI216" s="1912"/>
      <c r="AJ216" s="1912"/>
      <c r="AK216" s="19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0" t="s">
        <v>2294</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4"/>
    </row>
    <row r="222" spans="1:57" ht="15.75" customHeight="1">
      <c r="A222" s="1190"/>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4"/>
    </row>
    <row r="223" spans="1:57" ht="15.75" customHeight="1">
      <c r="A223" s="1190"/>
      <c r="B223" s="1896" t="s">
        <v>2293</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4"/>
    </row>
    <row r="224" spans="1:57" ht="15.75" customHeight="1">
      <c r="A224" s="1190"/>
      <c r="B224" s="1896" t="s">
        <v>2292</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9" t="s">
        <v>2291</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2" t="s">
        <v>2289</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5" t="s">
        <v>2288</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0"/>
      <c r="BB232" s="1190"/>
      <c r="BC232" s="1190"/>
      <c r="BD232" s="1194"/>
      <c r="BE232" s="1194"/>
    </row>
    <row r="233" spans="1:57" ht="15.75" customHeight="1">
      <c r="A233" s="1190"/>
      <c r="B233" s="1189"/>
      <c r="C233" s="1190"/>
      <c r="D233" s="1190"/>
      <c r="E233" s="1190"/>
      <c r="F233" s="1190"/>
      <c r="G233" s="1190"/>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0"/>
      <c r="BB233" s="1190"/>
      <c r="BC233" s="1190"/>
      <c r="BD233" s="1194"/>
      <c r="BE233" s="1194"/>
    </row>
    <row r="234" spans="1:57" ht="15.75" customHeight="1">
      <c r="A234" s="1190"/>
      <c r="B234" s="1189"/>
      <c r="C234" s="1190"/>
      <c r="D234" s="1190"/>
      <c r="E234" s="1190"/>
      <c r="F234" s="1190"/>
      <c r="G234" s="1190"/>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0"/>
      <c r="BB234" s="1190"/>
      <c r="BC234" s="1190"/>
      <c r="BD234" s="1194"/>
      <c r="BE234" s="1194"/>
    </row>
    <row r="235" spans="1:57" ht="15.75" customHeight="1">
      <c r="A235" s="1190"/>
      <c r="B235" s="1189"/>
      <c r="C235" s="1190"/>
      <c r="D235" s="1190"/>
      <c r="E235" s="1190"/>
      <c r="F235" s="1190"/>
      <c r="G235" s="1190"/>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6" t="s">
        <v>2287</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6" t="s">
        <v>2286</v>
      </c>
      <c r="I239" s="1876"/>
      <c r="J239" s="1876"/>
      <c r="K239" s="1876"/>
      <c r="L239" s="1239"/>
      <c r="M239" s="1239"/>
      <c r="N239" s="1239"/>
      <c r="O239" s="1239"/>
      <c r="P239" s="1239"/>
      <c r="Q239" s="1239"/>
      <c r="R239" s="1239"/>
      <c r="S239" s="1887"/>
      <c r="T239" s="1888"/>
      <c r="U239" s="1888"/>
      <c r="V239" s="1888"/>
      <c r="W239" s="1888"/>
      <c r="X239" s="1888"/>
      <c r="Y239" s="1888"/>
      <c r="Z239" s="1888"/>
      <c r="AA239" s="1888"/>
      <c r="AB239" s="1888"/>
      <c r="AC239" s="1888"/>
      <c r="AD239" s="1888"/>
      <c r="AE239" s="1888"/>
      <c r="AF239" s="1888"/>
      <c r="AG239" s="1888"/>
      <c r="AH239" s="1888"/>
      <c r="AI239" s="1888"/>
      <c r="AJ239" s="188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6" t="s">
        <v>2285</v>
      </c>
      <c r="I241" s="1876"/>
      <c r="J241" s="1876"/>
      <c r="K241" s="1241"/>
      <c r="L241" s="1239"/>
      <c r="M241" s="1239"/>
      <c r="N241" s="1239"/>
      <c r="O241" s="1239"/>
      <c r="P241" s="1239"/>
      <c r="Q241" s="1239"/>
      <c r="R241" s="1239"/>
      <c r="S241" s="1877"/>
      <c r="T241" s="1878"/>
      <c r="U241" s="1878"/>
      <c r="V241" s="1878"/>
      <c r="W241" s="1878"/>
      <c r="X241" s="1878"/>
      <c r="Y241" s="1878"/>
      <c r="Z241" s="1878"/>
      <c r="AA241" s="1878"/>
      <c r="AB241" s="1878"/>
      <c r="AC241" s="1878"/>
      <c r="AD241" s="1878"/>
      <c r="AE241" s="1878"/>
      <c r="AF241" s="1878"/>
      <c r="AG241" s="1878"/>
      <c r="AH241" s="1878"/>
      <c r="AI241" s="1878"/>
      <c r="AJ241" s="187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6" t="s">
        <v>441</v>
      </c>
      <c r="I243" s="1876"/>
      <c r="J243" s="1241"/>
      <c r="K243" s="1241"/>
      <c r="L243" s="1239"/>
      <c r="M243" s="1239"/>
      <c r="N243" s="1239"/>
      <c r="O243" s="1239"/>
      <c r="P243" s="1239"/>
      <c r="Q243" s="1239"/>
      <c r="R243" s="1239"/>
      <c r="S243" s="1877"/>
      <c r="T243" s="1878"/>
      <c r="U243" s="1878"/>
      <c r="V243" s="1878"/>
      <c r="W243" s="1878"/>
      <c r="X243" s="1878"/>
      <c r="Y243" s="1878"/>
      <c r="Z243" s="1878"/>
      <c r="AA243" s="1878"/>
      <c r="AB243" s="1878"/>
      <c r="AC243" s="1878"/>
      <c r="AD243" s="1878"/>
      <c r="AE243" s="1878"/>
      <c r="AF243" s="1878"/>
      <c r="AG243" s="1878"/>
      <c r="AH243" s="1878"/>
      <c r="AI243" s="1878"/>
      <c r="AJ243" s="187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0" t="s">
        <v>2284</v>
      </c>
      <c r="I245" s="1880"/>
      <c r="J245" s="1880"/>
      <c r="K245" s="1880"/>
      <c r="L245" s="1880"/>
      <c r="M245" s="1880"/>
      <c r="N245" s="1880"/>
      <c r="O245" s="1880"/>
      <c r="P245" s="1239"/>
      <c r="Q245" s="1239"/>
      <c r="R245" s="1239"/>
      <c r="S245" s="1877"/>
      <c r="T245" s="1878"/>
      <c r="U245" s="1878"/>
      <c r="V245" s="1878"/>
      <c r="W245" s="1878"/>
      <c r="X245" s="1878"/>
      <c r="Y245" s="1878"/>
      <c r="Z245" s="1878"/>
      <c r="AA245" s="1878"/>
      <c r="AB245" s="1878"/>
      <c r="AC245" s="1878"/>
      <c r="AD245" s="1878"/>
      <c r="AE245" s="1878"/>
      <c r="AF245" s="1878"/>
      <c r="AG245" s="1878"/>
      <c r="AH245" s="1878"/>
      <c r="AI245" s="1878"/>
      <c r="AJ245" s="187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1" t="s">
        <v>2283</v>
      </c>
      <c r="I247" s="1881"/>
      <c r="J247" s="1239"/>
      <c r="K247" s="1239"/>
      <c r="L247" s="1239"/>
      <c r="M247" s="1239"/>
      <c r="N247" s="1239"/>
      <c r="O247" s="1239"/>
      <c r="P247" s="1239"/>
      <c r="Q247" s="1239"/>
      <c r="R247" s="1239"/>
      <c r="S247" s="1882"/>
      <c r="T247" s="1883"/>
      <c r="U247" s="1883"/>
      <c r="V247" s="1883"/>
      <c r="W247" s="1883"/>
      <c r="X247" s="1883"/>
      <c r="Y247" s="1883"/>
      <c r="Z247" s="1883"/>
      <c r="AA247" s="1883"/>
      <c r="AB247" s="1883"/>
      <c r="AC247" s="1883"/>
      <c r="AD247" s="1883"/>
      <c r="AE247" s="1883"/>
      <c r="AF247" s="1883"/>
      <c r="AG247" s="1883"/>
      <c r="AH247" s="1883"/>
      <c r="AI247" s="1883"/>
      <c r="AJ247" s="188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4" workbookViewId="0">
      <selection activeCell="D54" sqref="D54:AF54"/>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4" t="s">
        <v>1280</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73736040</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497</v>
      </c>
      <c r="C12" s="1308"/>
      <c r="D12" s="1308"/>
      <c r="E12" s="1308"/>
      <c r="F12" s="1308"/>
      <c r="G12" s="1308"/>
      <c r="H12" s="1308"/>
      <c r="I12" s="1308"/>
      <c r="J12" s="1308"/>
      <c r="K12" s="1308"/>
      <c r="L12" s="1308"/>
      <c r="M12" s="1308"/>
      <c r="N12" s="1308"/>
      <c r="O12" s="1308"/>
      <c r="P12" s="1308"/>
      <c r="Q12" s="1308"/>
      <c r="R12" s="1308"/>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498</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499</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500</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805</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501</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50"/>
      <c r="C18" s="1565" t="s">
        <v>960</v>
      </c>
      <c r="D18" s="1565"/>
      <c r="E18" s="1565"/>
      <c r="F18" s="1565"/>
      <c r="G18" s="1565"/>
      <c r="H18" s="1565"/>
      <c r="I18" s="1565"/>
      <c r="J18" s="1565"/>
      <c r="K18" s="1565"/>
      <c r="L18" s="1565"/>
      <c r="M18" s="1565"/>
      <c r="N18" s="1565"/>
      <c r="O18" s="1565"/>
      <c r="P18" s="1565"/>
      <c r="Q18" s="1565"/>
      <c r="R18" s="1565"/>
      <c r="S18" s="1566"/>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50"/>
      <c r="C19" s="1565" t="s">
        <v>960</v>
      </c>
      <c r="D19" s="1565"/>
      <c r="E19" s="1565"/>
      <c r="F19" s="1565"/>
      <c r="G19" s="1565"/>
      <c r="H19" s="1565"/>
      <c r="I19" s="1565"/>
      <c r="J19" s="1565"/>
      <c r="K19" s="1565"/>
      <c r="L19" s="1565"/>
      <c r="M19" s="1565"/>
      <c r="N19" s="1565"/>
      <c r="O19" s="1565"/>
      <c r="P19" s="1565"/>
      <c r="Q19" s="1565"/>
      <c r="R19" s="1565"/>
      <c r="S19" s="1566"/>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53">
        <f>T11+T22</f>
        <v>73736040</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44">
        <f>Application!AJ1053</f>
        <v>136477258</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1264</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53">
        <f>T23*T25</f>
        <v>95856852</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425</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53">
        <f>IF(ISERROR((T26*T27)),0,(T26*T27))</f>
        <v>95856852</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44">
        <f>T28+Y28+AD28+AI28</f>
        <v>95856852</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1266</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1265</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1154</v>
      </c>
      <c r="Z35" s="2354"/>
      <c r="AA35" s="2354"/>
      <c r="AB35" s="2354"/>
      <c r="AC35" s="2354"/>
      <c r="AD35" s="2355" t="s">
        <v>368</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95856852</v>
      </c>
      <c r="Z38" s="2334"/>
      <c r="AA38" s="2334"/>
      <c r="AB38" s="2334"/>
      <c r="AC38" s="2334"/>
      <c r="AD38" s="2334">
        <f>IF(T24&gt;=(T23+Y23+AD23+AI23),AD28+AI28,0)</f>
        <v>0</v>
      </c>
      <c r="AE38" s="2334"/>
      <c r="AF38" s="2334"/>
      <c r="AG38" s="2334"/>
      <c r="AH38" s="2334"/>
    </row>
    <row r="39" spans="1:76" ht="12.95"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3834274</v>
      </c>
      <c r="Z40" s="2334"/>
      <c r="AA40" s="2334"/>
      <c r="AB40" s="2334"/>
      <c r="AC40" s="2334"/>
      <c r="AD40" s="2353">
        <f>ROUND(AD38*AD39,0)</f>
        <v>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3834274</v>
      </c>
      <c r="Z41" s="2352"/>
      <c r="AA41" s="2352"/>
      <c r="AB41" s="2352"/>
      <c r="AC41" s="2352"/>
      <c r="AD41" s="2352"/>
      <c r="AE41" s="2352"/>
      <c r="AF41" s="2352"/>
      <c r="AG41" s="2352"/>
      <c r="AH41" s="235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1276</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586</v>
      </c>
      <c r="C46" s="404" t="s">
        <v>281</v>
      </c>
    </row>
    <row r="47" spans="1:76" ht="12.95" customHeight="1">
      <c r="D47" s="404" t="s">
        <v>282</v>
      </c>
      <c r="AB47" s="2348">
        <f>'Sources and Uses Budget'!B105-MAX(IF('Sources and Uses Budget'!B15="",0,'Sources and Uses Budget'!B15),IF(Application!AG394="",0,Application!AG394))</f>
        <v>81702348</v>
      </c>
      <c r="AC47" s="2349"/>
      <c r="AD47" s="2349"/>
      <c r="AE47" s="2349"/>
      <c r="AF47" s="2350"/>
    </row>
    <row r="48" spans="1:76" ht="12.95" customHeight="1">
      <c r="D48" s="404" t="s">
        <v>21</v>
      </c>
      <c r="AB48" s="2348">
        <f>Application!AO639-MAX(IF('Sources and Uses Budget'!B15="",0,'Sources and Uses Budget'!B15),IF(Application!AG394="",0,Application!AG394))</f>
        <v>48500000</v>
      </c>
      <c r="AC48" s="2349"/>
      <c r="AD48" s="2349"/>
      <c r="AE48" s="2349"/>
      <c r="AF48" s="2350"/>
    </row>
    <row r="49" spans="1:76" ht="12.95" customHeight="1">
      <c r="D49" s="404" t="s">
        <v>91</v>
      </c>
      <c r="AB49" s="2348">
        <f>AB47-AB48</f>
        <v>33202348</v>
      </c>
      <c r="AC49" s="2349"/>
      <c r="AD49" s="2349"/>
      <c r="AE49" s="2349"/>
      <c r="AF49" s="2350"/>
    </row>
    <row r="50" spans="1:76" ht="12.95" customHeight="1">
      <c r="D50" s="404" t="s">
        <v>681</v>
      </c>
      <c r="AA50" s="415"/>
      <c r="AB50" s="2336">
        <f>AB49/(Y40*10)</f>
        <v>0.86593571560091953</v>
      </c>
      <c r="AC50" s="2337"/>
      <c r="AD50" s="2337"/>
      <c r="AE50" s="2337"/>
      <c r="AF50" s="2338"/>
    </row>
    <row r="51" spans="1:76" s="417" customFormat="1" ht="12.95" customHeight="1">
      <c r="A51" s="402"/>
      <c r="B51" s="402"/>
      <c r="C51" s="402"/>
      <c r="D51" s="402"/>
      <c r="E51" s="2347" t="s">
        <v>1850</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8">
        <f>ROUND(IF(ISERROR((AB49/AB50)),0,(AB49/AB50)),0)</f>
        <v>38342740</v>
      </c>
      <c r="AC54" s="2349"/>
      <c r="AD54" s="2349"/>
      <c r="AE54" s="2349"/>
      <c r="AF54" s="2350"/>
    </row>
    <row r="55" spans="1:76" ht="12.95" customHeight="1">
      <c r="D55" s="404" t="s">
        <v>332</v>
      </c>
      <c r="AB55" s="2348">
        <f>(AB54/10)</f>
        <v>3834274</v>
      </c>
      <c r="AC55" s="2349"/>
      <c r="AD55" s="2349"/>
      <c r="AE55" s="2349"/>
      <c r="AF55" s="2350"/>
    </row>
    <row r="56" spans="1:76" ht="12.95" customHeight="1">
      <c r="D56" s="404" t="s">
        <v>756</v>
      </c>
      <c r="AB56" s="2348">
        <f>ROUND((IF((Y41&lt;AB55),Y41,AB55)),0)</f>
        <v>3834274</v>
      </c>
      <c r="AC56" s="2349"/>
      <c r="AD56" s="2349"/>
      <c r="AE56" s="2349"/>
      <c r="AF56" s="2350"/>
    </row>
    <row r="57" spans="1:76" ht="12.95" customHeight="1">
      <c r="D57" s="404" t="s">
        <v>755</v>
      </c>
      <c r="AB57" s="2348">
        <f>ROUND((10*AB56*AB50),0)</f>
        <v>33202348</v>
      </c>
      <c r="AC57" s="2349"/>
      <c r="AD57" s="2349"/>
      <c r="AE57" s="2349"/>
      <c r="AF57" s="2350"/>
    </row>
    <row r="58" spans="1:76" ht="12.95" customHeight="1">
      <c r="D58" s="404"/>
      <c r="AB58" s="423"/>
      <c r="AC58" s="423"/>
      <c r="AD58" s="423"/>
      <c r="AE58" s="423"/>
      <c r="AF58" s="423"/>
    </row>
    <row r="59" spans="1:76" ht="12.95" customHeight="1">
      <c r="D59" s="404" t="s">
        <v>754</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589</v>
      </c>
      <c r="C63" s="205" t="s">
        <v>1248</v>
      </c>
      <c r="Y63" s="2343" t="s">
        <v>984</v>
      </c>
      <c r="Z63" s="2343"/>
      <c r="AA63" s="2343"/>
      <c r="AB63" s="2343"/>
      <c r="AC63" s="2343"/>
      <c r="AD63" s="2343" t="s">
        <v>368</v>
      </c>
      <c r="AE63" s="2343"/>
      <c r="AF63" s="2343"/>
      <c r="AG63" s="2343"/>
      <c r="AH63" s="234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45"/>
      <c r="AA64" s="2345"/>
      <c r="AB64" s="2345"/>
      <c r="AC64" s="2346"/>
      <c r="AD64" s="2344">
        <f>IF(AND(OR(Application!D211="At-Risk",Application!D211="At-Risk and Special Needs"),Application!M358="yes"),AD28+AI28,0)</f>
        <v>0</v>
      </c>
      <c r="AE64" s="2345"/>
      <c r="AF64" s="2345"/>
      <c r="AG64" s="2345"/>
      <c r="AH64" s="2346"/>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3" cm="1">
        <f t="array" ref="Y67">_xlfn.IFS(OR(Application!Z205="State Farmworker Credit",Application!Z205="$500M (Farmworker Housing)"),0.75,Application!Z205="15% set-aside",0.13,Application!Z205="15% set-aside with qualifying low value rehab",0.95,Application!Z205="$500M",0.3,TRUE,0)</f>
        <v>0</v>
      </c>
      <c r="Z67" s="2333"/>
      <c r="AA67" s="2333"/>
      <c r="AB67" s="2333"/>
      <c r="AC67" s="2333"/>
      <c r="AD67" s="2333" cm="1">
        <f t="array" ref="AD67">_xlfn.IFS(Application!Z205="15% set-aside with qualifying low value rehab", 0.95,OR(Application!D211="At-Risk",'Points System'!B13="Yes"),0.13,TRUE,0)</f>
        <v>0</v>
      </c>
      <c r="AE67" s="2333"/>
      <c r="AF67" s="2333"/>
      <c r="AG67" s="2333"/>
      <c r="AH67" s="2333"/>
    </row>
    <row r="68" spans="1:36" ht="12.95" customHeight="1">
      <c r="C68" s="404"/>
      <c r="D68" s="205" t="s">
        <v>2226</v>
      </c>
      <c r="Y68" s="2334">
        <f>ROUND(Y64*Y67,0)</f>
        <v>0</v>
      </c>
      <c r="Z68" s="2335"/>
      <c r="AA68" s="2335"/>
      <c r="AB68" s="2335"/>
      <c r="AC68" s="2335"/>
      <c r="AD68" s="2334">
        <f>ROUND(AD64*AD67,0)</f>
        <v>0</v>
      </c>
      <c r="AE68" s="2335"/>
      <c r="AF68" s="2335"/>
      <c r="AG68" s="2335"/>
      <c r="AH68" s="2335"/>
    </row>
    <row r="69" spans="1:36" ht="12.95" customHeight="1">
      <c r="C69" s="404"/>
      <c r="D69" s="205" t="s">
        <v>2227</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6"/>
      <c r="AC72" s="2337"/>
      <c r="AD72" s="2337"/>
      <c r="AE72" s="2337"/>
      <c r="AF72" s="2338"/>
    </row>
    <row r="73" spans="1:36" ht="12.95" customHeight="1">
      <c r="A73" s="404"/>
      <c r="C73" s="404"/>
      <c r="D73" s="404"/>
      <c r="E73" s="2339" t="s">
        <v>1251</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6"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6"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7">
        <f>ROUND(IF(ISERROR((AB59/AB72)),0,(AB59/AB72)),0)</f>
        <v>0</v>
      </c>
      <c r="AC77" s="2327"/>
      <c r="AD77" s="2327"/>
      <c r="AE77" s="2327"/>
      <c r="AF77" s="2327"/>
    </row>
    <row r="78" spans="1:36" ht="12.95" customHeight="1">
      <c r="C78" s="404"/>
      <c r="D78" s="205" t="s">
        <v>1253</v>
      </c>
      <c r="AB78" s="2328">
        <f>ROUNDUP(MIN(Y69,AB77),0)</f>
        <v>0</v>
      </c>
      <c r="AC78" s="2329"/>
      <c r="AD78" s="2329"/>
      <c r="AE78" s="2329"/>
      <c r="AF78" s="2330"/>
    </row>
    <row r="79" spans="1:36" ht="12.95" customHeight="1">
      <c r="C79" s="404"/>
      <c r="D79" s="205" t="s">
        <v>1254</v>
      </c>
      <c r="AB79" s="2331">
        <f>AB78*AB72</f>
        <v>0</v>
      </c>
      <c r="AC79" s="2331"/>
      <c r="AD79" s="2331"/>
      <c r="AE79" s="2331"/>
      <c r="AF79" s="2331"/>
    </row>
    <row r="80" spans="1:36" ht="12.95" customHeight="1">
      <c r="C80" s="404"/>
      <c r="D80" s="404"/>
      <c r="AB80" s="425"/>
      <c r="AC80" s="425"/>
      <c r="AD80" s="425"/>
      <c r="AE80" s="425"/>
      <c r="AF80" s="425"/>
    </row>
    <row r="81" spans="1:78" ht="12.95" customHeight="1">
      <c r="D81" s="404" t="s">
        <v>754</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customHeight="1">
      <c r="A86" s="404"/>
      <c r="C86" s="205"/>
    </row>
    <row r="87" spans="1:78" ht="12.95" customHeight="1">
      <c r="D87" s="205"/>
      <c r="AB87" s="2383"/>
      <c r="AC87" s="2383"/>
      <c r="AD87" s="2383"/>
      <c r="AE87" s="2383"/>
      <c r="AF87" s="2383"/>
    </row>
    <row r="88" spans="1:78" ht="12.95"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06" workbookViewId="0">
      <selection activeCell="H650" sqref="H650:I65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5" t="s">
        <v>1300</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6" t="s">
        <v>1305</v>
      </c>
      <c r="AF7" s="2406"/>
      <c r="AG7" s="2406"/>
      <c r="AH7" s="2406"/>
      <c r="AI7" s="2406"/>
      <c r="AJ7" s="2406"/>
      <c r="AK7" s="2406"/>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6" t="s">
        <v>591</v>
      </c>
      <c r="C13" s="2396"/>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7"/>
      <c r="AH13" s="2427"/>
      <c r="AI13" s="2427"/>
      <c r="AJ13" s="24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6" t="s">
        <v>591</v>
      </c>
      <c r="C16" s="2396"/>
      <c r="D16" s="547"/>
      <c r="E16" s="2407" t="s">
        <v>1307</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c r="AO16" s="550">
        <f>IF($B25="yes",20,0)</f>
        <v>0</v>
      </c>
      <c r="AP16" s="14"/>
    </row>
    <row r="17" spans="1:42" s="536" customFormat="1" ht="12.75" customHeight="1">
      <c r="A17" s="540"/>
      <c r="B17" s="540"/>
      <c r="C17" s="540"/>
      <c r="D17" s="551"/>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0"/>
      <c r="AL17" s="540"/>
      <c r="AM17" s="540"/>
      <c r="AN17" s="535"/>
      <c r="AO17" s="550">
        <f>IF($B28="yes",20,0)</f>
        <v>0</v>
      </c>
    </row>
    <row r="18" spans="1:42" s="536" customFormat="1" ht="12.75" customHeight="1">
      <c r="A18" s="540"/>
      <c r="B18" s="540"/>
      <c r="C18" s="540"/>
      <c r="D18" s="551"/>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6" t="s">
        <v>591</v>
      </c>
      <c r="C22" s="2396"/>
      <c r="D22" s="547"/>
      <c r="E22" s="2432" t="s">
        <v>1310</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0"/>
      <c r="AL22" s="540"/>
      <c r="AM22" s="540"/>
      <c r="AN22" s="535"/>
      <c r="AO22" s="550">
        <f>IF($B40="yes",14,0)</f>
        <v>0</v>
      </c>
    </row>
    <row r="23" spans="1:42" s="536" customFormat="1" ht="12.75" customHeight="1">
      <c r="A23" s="540"/>
      <c r="B23" s="540"/>
      <c r="C23" s="540"/>
      <c r="D23" s="550"/>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6" t="s">
        <v>591</v>
      </c>
      <c r="C25" s="2396"/>
      <c r="D25" s="547"/>
      <c r="E25" s="2397" t="s">
        <v>2034</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0"/>
      <c r="AL25" s="540"/>
      <c r="AM25" s="540"/>
      <c r="AN25" s="535"/>
      <c r="AO25" s="550">
        <f>IF($B45="yes",6,0)</f>
        <v>0</v>
      </c>
    </row>
    <row r="26" spans="1:42" s="536" customFormat="1" ht="12.75" customHeight="1">
      <c r="A26" s="540"/>
      <c r="B26" s="540"/>
      <c r="C26" s="540"/>
      <c r="D26" s="550"/>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6" t="s">
        <v>591</v>
      </c>
      <c r="C28" s="2396"/>
      <c r="D28" s="547"/>
      <c r="E28" s="2420" t="s">
        <v>2250</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6" t="s">
        <v>591</v>
      </c>
      <c r="C33" s="2396"/>
      <c r="D33" s="547"/>
      <c r="E33" s="2432" t="s">
        <v>2252</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0"/>
      <c r="AL33" s="540"/>
      <c r="AM33" s="540"/>
      <c r="AN33" s="535"/>
      <c r="AO33" s="550"/>
    </row>
    <row r="34" spans="1:41" s="536" customFormat="1" ht="12.75" customHeight="1">
      <c r="A34" s="540"/>
      <c r="B34" s="540"/>
      <c r="C34" s="540"/>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6" t="s">
        <v>591</v>
      </c>
      <c r="C36" s="2396"/>
      <c r="D36" s="547"/>
      <c r="E36" s="2397" t="s">
        <v>2253</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0"/>
      <c r="AL36" s="540"/>
      <c r="AM36" s="540"/>
      <c r="AN36" s="535"/>
    </row>
    <row r="37" spans="1:41" s="536" customFormat="1" ht="12.75" customHeight="1">
      <c r="A37" s="540"/>
      <c r="B37" s="540"/>
      <c r="C37" s="540"/>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0"/>
      <c r="AL37" s="540"/>
      <c r="AM37" s="540"/>
      <c r="AN37" s="535"/>
    </row>
    <row r="38" spans="1:41" s="536" customFormat="1" ht="12.75" customHeight="1">
      <c r="A38" s="540"/>
      <c r="B38" s="540"/>
      <c r="C38" s="540"/>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6" t="s">
        <v>591</v>
      </c>
      <c r="C40" s="2396"/>
      <c r="D40" s="547"/>
      <c r="E40" s="2397" t="s">
        <v>2251</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0"/>
      <c r="AL40" s="540"/>
      <c r="AM40" s="540"/>
      <c r="AN40" s="535"/>
    </row>
    <row r="41" spans="1:41" s="536" customFormat="1" ht="12.75" customHeight="1">
      <c r="A41" s="540"/>
      <c r="B41" s="540"/>
      <c r="C41" s="540"/>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6" t="s">
        <v>591</v>
      </c>
      <c r="C45" s="2396"/>
      <c r="D45" s="1142"/>
      <c r="E45" s="2397" t="s">
        <v>2009</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2"/>
      <c r="AL45" s="540"/>
      <c r="AM45" s="540"/>
      <c r="AN45" s="535"/>
    </row>
    <row r="46" spans="1:41" s="536" customFormat="1" ht="12.75" customHeight="1">
      <c r="A46" s="540"/>
      <c r="B46" s="540"/>
      <c r="C46" s="540"/>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0"/>
      <c r="AL46" s="540"/>
      <c r="AM46" s="540"/>
      <c r="AN46" s="535"/>
    </row>
    <row r="47" spans="1:41" s="536" customFormat="1" ht="12.75" customHeight="1">
      <c r="A47" s="540"/>
      <c r="D47" s="547"/>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6" t="s">
        <v>591</v>
      </c>
      <c r="C52" s="2396"/>
      <c r="D52" s="540"/>
      <c r="E52" s="2397" t="s">
        <v>2014</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59"/>
    </row>
    <row r="53" spans="1:50" s="536" customFormat="1" ht="12.75" customHeight="1">
      <c r="A53" s="540"/>
      <c r="D53" s="547"/>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0"/>
      <c r="AL53" s="540"/>
      <c r="AM53" s="540"/>
      <c r="AN53" s="535"/>
      <c r="AO53" s="559"/>
    </row>
    <row r="54" spans="1:50" s="536" customFormat="1" ht="12.75" customHeight="1">
      <c r="A54" s="540"/>
      <c r="D54" s="540"/>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6" t="s">
        <v>591</v>
      </c>
      <c r="C56" s="2396"/>
      <c r="D56" s="540"/>
      <c r="E56" s="2417" t="s">
        <v>2015</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6" t="s">
        <v>591</v>
      </c>
      <c r="C58" s="2396"/>
      <c r="D58" s="540"/>
      <c r="E58" s="2397" t="s">
        <v>2016</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0"/>
      <c r="AL58" s="540"/>
      <c r="AM58" s="540"/>
      <c r="AN58" s="535"/>
    </row>
    <row r="59" spans="1:50" s="536" customFormat="1" ht="12.75" customHeight="1">
      <c r="A59" s="540"/>
      <c r="B59" s="547"/>
      <c r="C59" s="547"/>
      <c r="D59" s="547"/>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9">
        <f>AO39</f>
        <v>0</v>
      </c>
      <c r="AL62" s="2430"/>
      <c r="AM62" s="243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6" t="s">
        <v>1314</v>
      </c>
      <c r="AF65" s="2406"/>
      <c r="AG65" s="2406"/>
      <c r="AH65" s="2406"/>
      <c r="AI65" s="2406"/>
      <c r="AJ65" s="2406"/>
      <c r="AK65" s="2406"/>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6" t="s">
        <v>591</v>
      </c>
      <c r="C68" s="2396"/>
      <c r="D68" s="547" t="s">
        <v>1315</v>
      </c>
      <c r="E68" s="2407" t="s">
        <v>2017</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3"/>
      <c r="AL68" s="540"/>
      <c r="AM68" s="540"/>
      <c r="AN68" s="535"/>
      <c r="AO68" s="550">
        <f>IF($B68="yes",10,0)</f>
        <v>0</v>
      </c>
    </row>
    <row r="69" spans="1:42" s="536" customFormat="1" ht="12.75" customHeight="1">
      <c r="A69" s="538"/>
      <c r="B69" s="540"/>
      <c r="C69" s="540"/>
      <c r="D69" s="551"/>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3"/>
      <c r="AL69" s="540"/>
      <c r="AM69" s="540"/>
      <c r="AN69" s="535"/>
      <c r="AO69" s="550">
        <f>IF($B74="yes",10,0)</f>
        <v>10</v>
      </c>
    </row>
    <row r="70" spans="1:42" s="536" customFormat="1" ht="12.75" customHeight="1">
      <c r="A70" s="538"/>
      <c r="B70" s="540"/>
      <c r="C70" s="540"/>
      <c r="D70" s="551"/>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3"/>
      <c r="AL70" s="540"/>
      <c r="AM70" s="540"/>
      <c r="AN70" s="535"/>
      <c r="AO70" s="550">
        <f>IF($B81="yes",10,0)</f>
        <v>0</v>
      </c>
    </row>
    <row r="71" spans="1:42" s="536" customFormat="1" ht="12.75" customHeight="1">
      <c r="A71" s="538"/>
      <c r="B71" s="540"/>
      <c r="C71" s="540"/>
      <c r="D71" s="551"/>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IF(SUM(AO68:AO70)&gt;10,10,(SUM(AO68:AO70)))</f>
        <v>10</v>
      </c>
      <c r="AP71" s="574" t="s">
        <v>1316</v>
      </c>
    </row>
    <row r="72" spans="1:42" s="536" customFormat="1" ht="12.75" customHeight="1">
      <c r="A72" s="538"/>
      <c r="B72" s="540"/>
      <c r="C72" s="540"/>
      <c r="D72" s="551"/>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6" t="s">
        <v>545</v>
      </c>
      <c r="C74" s="2396"/>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6" t="s">
        <v>545</v>
      </c>
      <c r="F75" s="2396"/>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4" t="s">
        <v>591</v>
      </c>
      <c r="F76" s="2395"/>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4" t="s">
        <v>591</v>
      </c>
      <c r="F77" s="2395"/>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6" t="s">
        <v>591</v>
      </c>
      <c r="F79" s="2396"/>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6" t="s">
        <v>591</v>
      </c>
      <c r="C81" s="2396"/>
      <c r="D81" s="547" t="s">
        <v>1320</v>
      </c>
      <c r="E81" s="2397" t="s">
        <v>1740</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50"/>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9">
        <f>IF(AK62&gt;0,0,AO71)</f>
        <v>10</v>
      </c>
      <c r="AL84" s="2430"/>
      <c r="AM84" s="243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6" t="s">
        <v>1305</v>
      </c>
      <c r="AF87" s="2406"/>
      <c r="AG87" s="2406"/>
      <c r="AH87" s="2406"/>
      <c r="AI87" s="2406"/>
      <c r="AJ87" s="2406"/>
      <c r="AK87" s="2406"/>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6" t="s">
        <v>545</v>
      </c>
      <c r="C90" s="2396"/>
      <c r="D90" s="547" t="s">
        <v>1315</v>
      </c>
      <c r="E90" s="2407" t="s">
        <v>1325</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3"/>
      <c r="AL90" s="540"/>
      <c r="AM90" s="540"/>
      <c r="AN90" s="535"/>
    </row>
    <row r="91" spans="1:43" s="536" customFormat="1" ht="12.75" customHeight="1">
      <c r="A91" s="538"/>
      <c r="B91" s="539"/>
      <c r="C91" s="539"/>
      <c r="D91" s="539"/>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0">
        <f>Application!AC753</f>
        <v>0.3979166666666667</v>
      </c>
      <c r="F93" s="2391"/>
      <c r="G93" s="2391"/>
      <c r="H93" s="239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2">
        <f>0.6-ROUNDUP(E93,2)</f>
        <v>0.19999999999999996</v>
      </c>
      <c r="F94" s="2393"/>
      <c r="G94" s="2393"/>
      <c r="H94" s="2393"/>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3">
        <f>IF(E94*200&gt;20,20,E94*200)</f>
        <v>20</v>
      </c>
      <c r="F95" s="2424"/>
      <c r="G95" s="2424"/>
      <c r="H95" s="2424"/>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6" t="s">
        <v>545</v>
      </c>
      <c r="C98" s="2396"/>
      <c r="D98" s="547" t="s">
        <v>1317</v>
      </c>
      <c r="E98" s="2407" t="s">
        <v>1725</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3"/>
      <c r="AL98" s="540"/>
      <c r="AM98" s="540"/>
      <c r="AN98" s="535"/>
    </row>
    <row r="99" spans="1:47" s="536" customFormat="1" ht="12.75" customHeight="1">
      <c r="A99" s="538"/>
      <c r="B99" s="539"/>
      <c r="C99" s="539"/>
      <c r="D99" s="539"/>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3"/>
      <c r="AL99" s="540"/>
      <c r="AM99" s="540"/>
      <c r="AN99" s="535"/>
    </row>
    <row r="100" spans="1:47" s="536" customFormat="1" ht="12.75" customHeight="1">
      <c r="A100" s="538"/>
      <c r="B100" s="539"/>
      <c r="C100" s="539"/>
      <c r="D100" s="539"/>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3"/>
      <c r="AL100" s="540"/>
      <c r="AM100" s="540"/>
      <c r="AN100" s="535"/>
    </row>
    <row r="101" spans="1:47" s="536" customFormat="1" ht="12.75" customHeight="1">
      <c r="A101" s="538"/>
      <c r="B101" s="539"/>
      <c r="C101" s="539"/>
      <c r="D101" s="539"/>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0">
        <f>Application!AC753</f>
        <v>0.3979166666666667</v>
      </c>
      <c r="F103" s="2391"/>
      <c r="G103" s="2391"/>
      <c r="H103" s="239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0">
        <f ca="1">SUMIF(Application!AC718:AG752,0.2,Application!G718:J752)/Application!G753+SUMIF(Application!AC718:AG752,0.25,Application!G718:J752)/Application!G753+SUMIF(Application!AC718:AG752,0.3,Application!G718:J752)/Application!G753</f>
        <v>0.51041666666666663</v>
      </c>
      <c r="F104" s="2391"/>
      <c r="G104" s="2391"/>
      <c r="H104" s="239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0">
        <f ca="1">SUMIF(Application!AC718:AG752,0.35,Application!G718:J752)/Application!G753+SUMIF(Application!AC718:AG752,0.4,Application!G718:J752)/Application!G753+SUMIF(Application!AC718:AG752,0.45,Application!G718:J752)/Application!G753+SUMIF(Application!AC718:AG752,0.5,Application!G718:J752)/Application!G753</f>
        <v>0.48958333333333331</v>
      </c>
      <c r="F105" s="2391"/>
      <c r="G105" s="2391"/>
      <c r="H105" s="239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8">
        <f ca="1">IF(AND(E103&lt;=0.6,OR(AND(E104&gt;=0.1,E105&gt;=0.1),AND(E104&gt;0.1,(E104+E105)&gt;=0.2))),20,0)</f>
        <v>20</v>
      </c>
      <c r="F106" s="2449"/>
      <c r="G106" s="2449"/>
      <c r="H106" s="244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9">
        <f ca="1">MAX(AP95,AP106)</f>
        <v>20</v>
      </c>
      <c r="AL109" s="2430"/>
      <c r="AM109" s="243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6" t="s">
        <v>1314</v>
      </c>
      <c r="AF112" s="2406"/>
      <c r="AG112" s="2406"/>
      <c r="AH112" s="2406"/>
      <c r="AI112" s="2406"/>
      <c r="AJ112" s="2406"/>
      <c r="AK112" s="2406"/>
      <c r="AL112" s="540"/>
      <c r="AM112" s="540"/>
      <c r="AN112" s="535"/>
      <c r="AO112" s="536" t="str">
        <f>Application!B718</f>
        <v>SRO/Studio</v>
      </c>
      <c r="AQ112" s="536">
        <f>Application!O718</f>
        <v>300</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300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300</v>
      </c>
    </row>
    <row r="115" spans="1:52" s="536" customFormat="1" ht="12.75" customHeight="1">
      <c r="A115" s="540"/>
      <c r="B115" s="2396" t="s">
        <v>545</v>
      </c>
      <c r="C115" s="2396"/>
      <c r="D115" s="547" t="s">
        <v>1315</v>
      </c>
      <c r="E115" s="2407" t="s">
        <v>1858</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0"/>
      <c r="AL116" s="540"/>
      <c r="AM116" s="540"/>
      <c r="AN116" s="535"/>
      <c r="AO116" s="536">
        <f>Application!B722</f>
        <v>0</v>
      </c>
      <c r="AQ116" s="536">
        <f>Application!O722</f>
        <v>0</v>
      </c>
      <c r="AU116" s="856" t="str">
        <f>E124</f>
        <v>Studio/SRO</v>
      </c>
      <c r="AV116" s="536">
        <f t="array" ref="AV116">SUM(IF(Application!B718:F752="SRO/Studio",Application!G718:J752))</f>
        <v>96</v>
      </c>
      <c r="AW116" s="1011">
        <f>AV116/AV122</f>
        <v>1</v>
      </c>
    </row>
    <row r="117" spans="1:52" s="536" customFormat="1" ht="12.75" customHeight="1">
      <c r="A117" s="540"/>
      <c r="B117" s="539"/>
      <c r="C117" s="539"/>
      <c r="D117" s="539"/>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0"/>
      <c r="AL122" s="540"/>
      <c r="AM122" s="540"/>
      <c r="AN122" s="535"/>
      <c r="AO122" s="536">
        <f>Application!B728</f>
        <v>0</v>
      </c>
      <c r="AQ122" s="536">
        <f>Application!O728</f>
        <v>0</v>
      </c>
      <c r="AV122" s="536">
        <f>SUM(AV116:AV121)</f>
        <v>96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0" t="s">
        <v>1588</v>
      </c>
      <c r="F124" s="2391"/>
      <c r="G124" s="2391"/>
      <c r="H124" s="2391"/>
      <c r="I124" s="577"/>
      <c r="J124" s="2391" t="s">
        <v>1631</v>
      </c>
      <c r="K124" s="2391"/>
      <c r="L124" s="2391"/>
      <c r="M124" s="2391"/>
      <c r="N124" s="577"/>
      <c r="O124" s="2391" t="s">
        <v>1632</v>
      </c>
      <c r="P124" s="2391"/>
      <c r="Q124" s="2391"/>
      <c r="R124" s="2391"/>
      <c r="S124" s="577"/>
      <c r="T124" s="2391" t="s">
        <v>1334</v>
      </c>
      <c r="U124" s="2391"/>
      <c r="V124" s="2391"/>
      <c r="W124" s="2391"/>
      <c r="X124" s="577"/>
      <c r="Y124" s="2391" t="s">
        <v>1633</v>
      </c>
      <c r="Z124" s="2391"/>
      <c r="AA124" s="2391"/>
      <c r="AB124" s="2391"/>
      <c r="AC124" s="577"/>
      <c r="AD124" s="2391" t="s">
        <v>1634</v>
      </c>
      <c r="AE124" s="2391"/>
      <c r="AF124" s="2391"/>
      <c r="AG124" s="239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0">
        <v>1600</v>
      </c>
      <c r="F127" s="2451"/>
      <c r="G127" s="2451"/>
      <c r="H127" s="2451"/>
      <c r="I127" s="864"/>
      <c r="J127" s="2451"/>
      <c r="K127" s="2451"/>
      <c r="L127" s="2451"/>
      <c r="M127" s="2451"/>
      <c r="N127" s="864"/>
      <c r="O127" s="2451"/>
      <c r="P127" s="2451"/>
      <c r="Q127" s="2451"/>
      <c r="R127" s="2451"/>
      <c r="S127" s="864"/>
      <c r="T127" s="2451"/>
      <c r="U127" s="2451"/>
      <c r="V127" s="2451"/>
      <c r="W127" s="2451"/>
      <c r="X127" s="864"/>
      <c r="Y127" s="2451"/>
      <c r="Z127" s="2451"/>
      <c r="AA127" s="2451"/>
      <c r="AB127" s="2451"/>
      <c r="AC127" s="864"/>
      <c r="AD127" s="2451"/>
      <c r="AE127" s="2451"/>
      <c r="AF127" s="2451"/>
      <c r="AG127" s="245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3">
        <f>Application!DX670</f>
        <v>300</v>
      </c>
      <c r="F130" s="2444"/>
      <c r="G130" s="2444"/>
      <c r="H130" s="2444"/>
      <c r="I130" s="864"/>
      <c r="J130" s="2444">
        <f>Application!EC670</f>
        <v>0</v>
      </c>
      <c r="K130" s="2444"/>
      <c r="L130" s="2444"/>
      <c r="M130" s="2444"/>
      <c r="N130" s="864"/>
      <c r="O130" s="2444">
        <f>Application!EH670</f>
        <v>0</v>
      </c>
      <c r="P130" s="2444"/>
      <c r="Q130" s="2444"/>
      <c r="R130" s="2444"/>
      <c r="S130" s="868"/>
      <c r="T130" s="2444">
        <f>Application!EM670</f>
        <v>0</v>
      </c>
      <c r="U130" s="2444"/>
      <c r="V130" s="2444"/>
      <c r="W130" s="2444"/>
      <c r="X130" s="868"/>
      <c r="Y130" s="2444">
        <f>Application!ER670</f>
        <v>0</v>
      </c>
      <c r="Z130" s="2444"/>
      <c r="AA130" s="2444"/>
      <c r="AB130" s="2444"/>
      <c r="AC130" s="868"/>
      <c r="AD130" s="2444">
        <f>Application!EW670</f>
        <v>0</v>
      </c>
      <c r="AE130" s="2444"/>
      <c r="AF130" s="2444"/>
      <c r="AG130" s="244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2">
        <f>(E127-E130)/E127</f>
        <v>0.8125</v>
      </c>
      <c r="F133" s="2393"/>
      <c r="G133" s="2393"/>
      <c r="H133" s="2643"/>
      <c r="I133" s="577"/>
      <c r="J133" s="2642" t="e">
        <f>(J127-J130)/J127</f>
        <v>#DIV/0!</v>
      </c>
      <c r="K133" s="2393"/>
      <c r="L133" s="2393"/>
      <c r="M133" s="2643"/>
      <c r="N133" s="577"/>
      <c r="O133" s="2642" t="e">
        <f>(O127-O130)/O127</f>
        <v>#DIV/0!</v>
      </c>
      <c r="P133" s="2393"/>
      <c r="Q133" s="2393"/>
      <c r="R133" s="2643"/>
      <c r="S133" s="577"/>
      <c r="T133" s="2642" t="e">
        <f>(T127-T130)/T127</f>
        <v>#DIV/0!</v>
      </c>
      <c r="U133" s="2393"/>
      <c r="V133" s="2393"/>
      <c r="W133" s="2643"/>
      <c r="X133" s="577"/>
      <c r="Y133" s="2642" t="e">
        <f>(Y127-Y130)/Y127</f>
        <v>#DIV/0!</v>
      </c>
      <c r="Z133" s="2393"/>
      <c r="AA133" s="2393"/>
      <c r="AB133" s="2643"/>
      <c r="AC133" s="577"/>
      <c r="AD133" s="2642" t="e">
        <f>(AD127-AD130)/AD127</f>
        <v>#DIV/0!</v>
      </c>
      <c r="AE133" s="2393"/>
      <c r="AF133" s="2393"/>
      <c r="AG133" s="264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5">
        <f>IF(((E133-0.1)*AW116)&gt;0,((E133-0.1)*AW116),0)</f>
        <v>0.71250000000000002</v>
      </c>
      <c r="F136" s="2446"/>
      <c r="G136" s="2446"/>
      <c r="H136" s="2447"/>
      <c r="I136" s="577"/>
      <c r="J136" s="2445" t="e">
        <f>IF(((J133-0.1)*AW117)&gt;0,((J133-0.1)*AW117),0)</f>
        <v>#DIV/0!</v>
      </c>
      <c r="K136" s="2446"/>
      <c r="L136" s="2446"/>
      <c r="M136" s="2447"/>
      <c r="N136" s="577"/>
      <c r="O136" s="2445" t="e">
        <f>IF(((O133-0.1)*AW118)&gt;0,((O133-0.1)*AW118),0)</f>
        <v>#DIV/0!</v>
      </c>
      <c r="P136" s="2446"/>
      <c r="Q136" s="2446"/>
      <c r="R136" s="2447"/>
      <c r="S136" s="577"/>
      <c r="T136" s="2445" t="e">
        <f>IF(((T133-0.1)*AW119)&gt;0,((T133-0.1)*AW119),0)</f>
        <v>#DIV/0!</v>
      </c>
      <c r="U136" s="2446"/>
      <c r="V136" s="2446"/>
      <c r="W136" s="2447"/>
      <c r="X136" s="577"/>
      <c r="Y136" s="2445" t="e">
        <f>IF(((Y133-0.1)*AW120)&gt;0,((Y133-0.1)*AW120),0)</f>
        <v>#DIV/0!</v>
      </c>
      <c r="Z136" s="2446"/>
      <c r="AA136" s="2446"/>
      <c r="AB136" s="2447"/>
      <c r="AC136" s="577"/>
      <c r="AD136" s="2445" t="e">
        <f>IF(((AD133-0.1)*AW121)&gt;0,((AD133-0.1)*AW121),0)</f>
        <v>#DIV/0!</v>
      </c>
      <c r="AE136" s="2446"/>
      <c r="AF136" s="2446"/>
      <c r="AG136" s="244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2">
        <f>ROUNDDOWN(SUMIF(E136:AG136,"&gt;0"),2)</f>
        <v>0.71</v>
      </c>
      <c r="F138" s="2393"/>
      <c r="G138" s="2393"/>
      <c r="H138" s="2643"/>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9">
        <f>IF((E138*100)&gt;10,10,E138*100)</f>
        <v>10</v>
      </c>
      <c r="F139" s="2430"/>
      <c r="G139" s="2430"/>
      <c r="H139" s="2431"/>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9">
        <f>E139</f>
        <v>10</v>
      </c>
      <c r="AL143" s="2430"/>
      <c r="AM143" s="243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6" t="s">
        <v>1314</v>
      </c>
      <c r="AF146" s="2406"/>
      <c r="AG146" s="2406"/>
      <c r="AH146" s="2406"/>
      <c r="AI146" s="2406"/>
      <c r="AJ146" s="2406"/>
      <c r="AK146" s="240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1" t="s">
        <v>1338</v>
      </c>
      <c r="AG148" s="2441"/>
      <c r="AH148" s="2441"/>
      <c r="AI148" s="2441"/>
      <c r="AJ148" s="2441"/>
      <c r="AK148" s="2441"/>
      <c r="AL148" s="2441"/>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2" t="s">
        <v>2732</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8" t="s">
        <v>1341</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69" t="s">
        <v>591</v>
      </c>
      <c r="AC155" s="246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8" t="s">
        <v>1343</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9" t="s">
        <v>2477</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0"/>
      <c r="AM161" s="539"/>
      <c r="AN161" s="535"/>
      <c r="AO161" s="476"/>
      <c r="AP161" s="489"/>
    </row>
    <row r="162" spans="1:42" s="536"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0"/>
      <c r="AM162" s="539"/>
      <c r="AN162" s="535"/>
      <c r="AO162" s="476"/>
      <c r="AP162" s="489"/>
    </row>
    <row r="163" spans="1:42" s="536" customFormat="1" ht="12.75" customHeight="1">
      <c r="C163" s="2532" t="s">
        <v>2478</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0"/>
      <c r="AM163" s="539"/>
      <c r="AN163" s="535"/>
      <c r="AO163" s="476"/>
      <c r="AP163" s="489"/>
    </row>
    <row r="164" spans="1:42" s="536" customFormat="1" ht="12.75" customHeight="1">
      <c r="B164" s="1180"/>
      <c r="C164" s="2467" t="s">
        <v>2476</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0"/>
      <c r="AB164" s="1170"/>
      <c r="AC164" s="1170"/>
      <c r="AD164" s="1170"/>
      <c r="AE164" s="1170"/>
      <c r="AF164" s="1170"/>
      <c r="AG164" s="1170"/>
      <c r="AH164" s="1170"/>
      <c r="AJ164" s="2469" t="s">
        <v>591</v>
      </c>
      <c r="AK164" s="246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2">
        <f>IF($AB$155="N/A",VLOOKUP($B$153,$AO$151:$AP$154,2,FALSE),VLOOKUP($B$158,$AO$156:$AP$158,2,FALSE))</f>
        <v>7</v>
      </c>
      <c r="AK166" s="247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1" t="s">
        <v>1352</v>
      </c>
      <c r="AG168" s="2441"/>
      <c r="AH168" s="2441"/>
      <c r="AI168" s="2441"/>
      <c r="AJ168" s="2441"/>
      <c r="AK168" s="2441"/>
      <c r="AL168" s="2441"/>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8" t="s">
        <v>1350</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9" t="s">
        <v>591</v>
      </c>
      <c r="AG172" s="2469"/>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8" t="s">
        <v>1343</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0" t="str">
        <f>Application!AA335</f>
        <v>Mercy Housing Management Group</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1">
        <f>IF($AF$172="N/A",VLOOKUP($C$170,$AO$170:$AP$173,2,FALSE),VLOOKUP($C$174,$AO$177:$AP$179,2,FALSE))</f>
        <v>3</v>
      </c>
      <c r="AK180" s="247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9">
        <f>$AJ$166+$AJ$180</f>
        <v>10</v>
      </c>
      <c r="AL183" s="2430"/>
      <c r="AM183" s="243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6" t="s">
        <v>1314</v>
      </c>
      <c r="AF186" s="2406"/>
      <c r="AG186" s="2406"/>
      <c r="AH186" s="2406"/>
      <c r="AI186" s="2406"/>
      <c r="AJ186" s="2406"/>
      <c r="AK186" s="2406"/>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6" t="s">
        <v>1362</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6"/>
      <c r="AE188" s="536"/>
      <c r="AF188" s="2441" t="s">
        <v>1363</v>
      </c>
      <c r="AG188" s="2441"/>
      <c r="AH188" s="2441"/>
      <c r="AI188" s="2441"/>
      <c r="AJ188" s="2441"/>
      <c r="AK188" s="2441"/>
      <c r="AL188" s="2441"/>
      <c r="AN188" s="597"/>
      <c r="AP188" s="550" t="s">
        <v>1043</v>
      </c>
      <c r="AQ188" s="550">
        <v>10</v>
      </c>
    </row>
    <row r="189" spans="1:73" s="550" customFormat="1" ht="12.75" customHeight="1">
      <c r="A189" s="536"/>
      <c r="B189" s="2467" t="s">
        <v>1726</v>
      </c>
      <c r="C189" s="2467"/>
      <c r="D189" s="2467"/>
      <c r="E189" s="2467"/>
      <c r="F189" s="2467"/>
      <c r="G189" s="2467"/>
      <c r="H189" s="2467"/>
      <c r="I189" s="2467"/>
      <c r="J189" s="2467"/>
      <c r="K189" s="2467"/>
      <c r="L189" s="2467"/>
      <c r="M189" s="2467"/>
      <c r="N189" s="2467"/>
      <c r="O189" s="2467"/>
      <c r="P189" s="2467"/>
      <c r="Q189" s="2467"/>
      <c r="R189" s="2467"/>
      <c r="S189" s="2467"/>
      <c r="T189" s="2442" t="s">
        <v>591</v>
      </c>
      <c r="U189" s="2442"/>
      <c r="V189" s="2442"/>
      <c r="W189" s="2442"/>
      <c r="X189" s="2442"/>
      <c r="Y189" s="2442"/>
      <c r="Z189" s="2442"/>
      <c r="AA189" s="2442"/>
      <c r="AB189" s="2442"/>
      <c r="AC189" s="2442"/>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6">
        <f>IF(AK84&gt;0,VLOOKUP($B$188,AP185:AQ191,2,FALSE),0)</f>
        <v>10</v>
      </c>
      <c r="AL191" s="2477"/>
      <c r="AM191" s="247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6" t="s">
        <v>1372</v>
      </c>
      <c r="AF194" s="2406"/>
      <c r="AG194" s="2406"/>
      <c r="AH194" s="2406"/>
      <c r="AI194" s="2406"/>
      <c r="AJ194" s="2406"/>
      <c r="AK194" s="240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3" t="s">
        <v>2733</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6"/>
      <c r="AD199" s="2454">
        <v>20000000</v>
      </c>
      <c r="AE199" s="2454"/>
      <c r="AF199" s="2454"/>
      <c r="AG199" s="2454"/>
      <c r="AH199" s="2454"/>
      <c r="AI199" s="2454"/>
      <c r="AJ199" s="2454"/>
      <c r="AK199" s="610"/>
    </row>
    <row r="200" spans="1:40">
      <c r="A200" s="605"/>
      <c r="B200" s="2453" t="s">
        <v>2734</v>
      </c>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6"/>
      <c r="AD200" s="2454">
        <v>1000000</v>
      </c>
      <c r="AE200" s="2454"/>
      <c r="AF200" s="2454"/>
      <c r="AG200" s="2454"/>
      <c r="AH200" s="2454"/>
      <c r="AI200" s="2454"/>
      <c r="AJ200" s="2454"/>
      <c r="AK200" s="610"/>
    </row>
    <row r="201" spans="1:40">
      <c r="A201" s="605"/>
      <c r="B201" s="2453" t="s">
        <v>2735</v>
      </c>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6"/>
      <c r="AD201" s="2454">
        <v>11800000</v>
      </c>
      <c r="AE201" s="2454"/>
      <c r="AF201" s="2454"/>
      <c r="AG201" s="2454"/>
      <c r="AH201" s="2454"/>
      <c r="AI201" s="2454"/>
      <c r="AJ201" s="2454"/>
      <c r="AK201" s="610"/>
    </row>
    <row r="202" spans="1:40">
      <c r="A202" s="605"/>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6"/>
      <c r="AD202" s="2454"/>
      <c r="AE202" s="2454"/>
      <c r="AF202" s="2454"/>
      <c r="AG202" s="2454"/>
      <c r="AH202" s="2454"/>
      <c r="AI202" s="2454"/>
      <c r="AJ202" s="2454"/>
      <c r="AK202" s="610"/>
    </row>
    <row r="203" spans="1:40">
      <c r="A203" s="605"/>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6"/>
      <c r="AD203" s="2454"/>
      <c r="AE203" s="2454"/>
      <c r="AF203" s="2454"/>
      <c r="AG203" s="2454"/>
      <c r="AH203" s="2454"/>
      <c r="AI203" s="2454"/>
      <c r="AJ203" s="2454"/>
      <c r="AK203" s="610"/>
    </row>
    <row r="204" spans="1:40">
      <c r="A204" s="605"/>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6"/>
      <c r="AD204" s="2454"/>
      <c r="AE204" s="2454"/>
      <c r="AF204" s="2454"/>
      <c r="AG204" s="2454"/>
      <c r="AH204" s="2454"/>
      <c r="AI204" s="2454"/>
      <c r="AJ204" s="2454"/>
      <c r="AK204" s="610"/>
    </row>
    <row r="205" spans="1:40">
      <c r="A205" s="605"/>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6"/>
      <c r="AD205" s="2454"/>
      <c r="AE205" s="2454"/>
      <c r="AF205" s="2454"/>
      <c r="AG205" s="2454"/>
      <c r="AH205" s="2454"/>
      <c r="AI205" s="2454"/>
      <c r="AJ205" s="2454"/>
      <c r="AK205" s="610"/>
    </row>
    <row r="206" spans="1:40">
      <c r="A206" s="605"/>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6"/>
      <c r="AD206" s="2454"/>
      <c r="AE206" s="2454"/>
      <c r="AF206" s="2454"/>
      <c r="AG206" s="2454"/>
      <c r="AH206" s="2454"/>
      <c r="AI206" s="2454"/>
      <c r="AJ206" s="2454"/>
      <c r="AK206" s="610"/>
    </row>
    <row r="207" spans="1:40">
      <c r="A207" s="605"/>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6"/>
      <c r="AD207" s="2454"/>
      <c r="AE207" s="2454"/>
      <c r="AF207" s="2454"/>
      <c r="AG207" s="2454"/>
      <c r="AH207" s="2454"/>
      <c r="AI207" s="2454"/>
      <c r="AJ207" s="2454"/>
      <c r="AK207" s="610"/>
    </row>
    <row r="208" spans="1:40">
      <c r="A208" s="605"/>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6"/>
      <c r="AD208" s="2454"/>
      <c r="AE208" s="2454"/>
      <c r="AF208" s="2454"/>
      <c r="AG208" s="2454"/>
      <c r="AH208" s="2454"/>
      <c r="AI208" s="2454"/>
      <c r="AJ208" s="2454"/>
      <c r="AK208" s="610"/>
    </row>
    <row r="209" spans="1:37">
      <c r="A209" s="605"/>
      <c r="B209" s="2464" t="s">
        <v>1627</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6"/>
      <c r="AD209" s="2483">
        <f>AB260</f>
        <v>8753291.9271233119</v>
      </c>
      <c r="AE209" s="2483"/>
      <c r="AF209" s="2483"/>
      <c r="AG209" s="2483"/>
      <c r="AH209" s="2483"/>
      <c r="AI209" s="2483"/>
      <c r="AJ209" s="2483"/>
      <c r="AK209" s="610"/>
    </row>
    <row r="210" spans="1:37">
      <c r="A210" s="605"/>
      <c r="B210" s="2610" t="s">
        <v>1590</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6"/>
      <c r="AD210" s="2484">
        <f>'Sources and Uses Budget'!B15</f>
        <v>0</v>
      </c>
      <c r="AE210" s="2484"/>
      <c r="AF210" s="2484"/>
      <c r="AG210" s="2484"/>
      <c r="AH210" s="2484"/>
      <c r="AI210" s="2484"/>
      <c r="AJ210" s="248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8">
        <f>SUM(AD199:AJ209)-AD210</f>
        <v>41553291.927123308</v>
      </c>
      <c r="AE211" s="2488"/>
      <c r="AF211" s="2488"/>
      <c r="AG211" s="2488"/>
      <c r="AH211" s="2488"/>
      <c r="AI211" s="2488"/>
      <c r="AJ211" s="248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7" t="s">
        <v>1607</v>
      </c>
      <c r="J222" s="2457"/>
      <c r="K222" s="2457"/>
      <c r="L222" s="536"/>
      <c r="M222" s="536"/>
      <c r="N222" s="536"/>
      <c r="O222" s="536"/>
      <c r="P222" s="536"/>
      <c r="Q222" s="536"/>
      <c r="R222" s="536"/>
      <c r="S222" s="536"/>
      <c r="T222" s="2645" t="s">
        <v>1601</v>
      </c>
      <c r="U222" s="2645"/>
      <c r="V222" s="2645"/>
      <c r="W222" s="2645"/>
      <c r="X222" s="2645"/>
      <c r="Y222" s="2645"/>
      <c r="Z222" s="849"/>
      <c r="AA222" s="489"/>
      <c r="AB222" s="2452" t="s">
        <v>1602</v>
      </c>
      <c r="AC222" s="2452"/>
      <c r="AD222" s="2452"/>
      <c r="AE222" s="2452"/>
      <c r="AF222" s="2452"/>
      <c r="AG222" s="2452"/>
      <c r="AH222" s="827"/>
      <c r="AI222" s="827"/>
      <c r="AJ222" s="827"/>
      <c r="AK222" s="610"/>
    </row>
    <row r="223" spans="1:37">
      <c r="A223" s="605"/>
      <c r="B223" s="2455" t="s">
        <v>1587</v>
      </c>
      <c r="C223" s="2455"/>
      <c r="D223" s="2455"/>
      <c r="E223" s="2455"/>
      <c r="F223" s="2455"/>
      <c r="G223" s="2455"/>
      <c r="I223" s="2456" t="s">
        <v>1608</v>
      </c>
      <c r="J223" s="2456"/>
      <c r="K223" s="2456"/>
      <c r="L223" s="1008"/>
      <c r="N223" s="2462" t="s">
        <v>1603</v>
      </c>
      <c r="O223" s="2462"/>
      <c r="P223" s="2462"/>
      <c r="Q223" s="2462"/>
      <c r="R223" s="2462"/>
      <c r="T223" s="2462" t="s">
        <v>1604</v>
      </c>
      <c r="U223" s="2462"/>
      <c r="V223" s="2462"/>
      <c r="W223" s="2462"/>
      <c r="X223" s="2462"/>
      <c r="Y223" s="2462"/>
      <c r="Z223" s="850"/>
      <c r="AA223" s="489"/>
      <c r="AB223" s="2599" t="s">
        <v>1605</v>
      </c>
      <c r="AC223" s="2599"/>
      <c r="AD223" s="2599"/>
      <c r="AE223" s="2599"/>
      <c r="AF223" s="2599"/>
      <c r="AG223" s="2599"/>
      <c r="AH223" s="827"/>
      <c r="AI223" s="827"/>
      <c r="AJ223" s="827"/>
      <c r="AK223" s="610"/>
    </row>
    <row r="224" spans="1:37">
      <c r="A224" s="605"/>
      <c r="B224" s="2459" t="s">
        <v>1184</v>
      </c>
      <c r="C224" s="2459"/>
      <c r="D224" s="2459"/>
      <c r="E224" s="2459"/>
      <c r="F224" s="2459"/>
      <c r="G224" s="2459"/>
      <c r="H224" s="852"/>
      <c r="I224" s="2458"/>
      <c r="J224" s="2458"/>
      <c r="K224" s="2458"/>
      <c r="L224" s="1008"/>
      <c r="N224" s="2463"/>
      <c r="O224" s="2463"/>
      <c r="P224" s="2463"/>
      <c r="Q224" s="2463"/>
      <c r="R224" s="2463"/>
      <c r="T224" s="2611"/>
      <c r="U224" s="2611"/>
      <c r="V224" s="2611"/>
      <c r="W224" s="2611"/>
      <c r="X224" s="2611"/>
      <c r="Y224" s="2611"/>
      <c r="Z224" s="851"/>
      <c r="AA224" s="851"/>
      <c r="AB224" s="2460">
        <f t="shared" ref="AB224:AB233" si="0">MAX(($T224-$N224)*$I224*12,0)</f>
        <v>0</v>
      </c>
      <c r="AC224" s="2460"/>
      <c r="AD224" s="2460"/>
      <c r="AE224" s="2460"/>
      <c r="AF224" s="2460"/>
      <c r="AG224" s="2460"/>
      <c r="AH224" s="827"/>
      <c r="AI224" s="827"/>
      <c r="AJ224" s="827"/>
      <c r="AK224" s="610"/>
    </row>
    <row r="225" spans="1:37">
      <c r="A225" s="605"/>
      <c r="B225" s="2459" t="s">
        <v>1184</v>
      </c>
      <c r="C225" s="2459"/>
      <c r="D225" s="2459"/>
      <c r="E225" s="2459"/>
      <c r="F225" s="2459"/>
      <c r="G225" s="2459"/>
      <c r="I225" s="2458"/>
      <c r="J225" s="2458"/>
      <c r="K225" s="2458"/>
      <c r="L225" s="1008"/>
      <c r="N225" s="2463"/>
      <c r="O225" s="2463"/>
      <c r="P225" s="2463"/>
      <c r="Q225" s="2463"/>
      <c r="R225" s="2463"/>
      <c r="T225" s="2611"/>
      <c r="U225" s="2611"/>
      <c r="V225" s="2611"/>
      <c r="W225" s="2611"/>
      <c r="X225" s="2611"/>
      <c r="Y225" s="2611"/>
      <c r="Z225" s="851"/>
      <c r="AA225" s="851"/>
      <c r="AB225" s="2460">
        <f t="shared" si="0"/>
        <v>0</v>
      </c>
      <c r="AC225" s="2460"/>
      <c r="AD225" s="2460"/>
      <c r="AE225" s="2460"/>
      <c r="AF225" s="2460"/>
      <c r="AG225" s="2460"/>
      <c r="AH225" s="827"/>
      <c r="AI225" s="827"/>
      <c r="AJ225" s="827"/>
      <c r="AK225" s="610"/>
    </row>
    <row r="226" spans="1:37">
      <c r="A226" s="605"/>
      <c r="B226" s="2459" t="s">
        <v>1184</v>
      </c>
      <c r="C226" s="2459"/>
      <c r="D226" s="2459"/>
      <c r="E226" s="2459"/>
      <c r="F226" s="2459"/>
      <c r="G226" s="2459"/>
      <c r="I226" s="2458"/>
      <c r="J226" s="2458"/>
      <c r="K226" s="2458"/>
      <c r="L226" s="1008"/>
      <c r="N226" s="2463"/>
      <c r="O226" s="2463"/>
      <c r="P226" s="2463"/>
      <c r="Q226" s="2463"/>
      <c r="R226" s="2463"/>
      <c r="T226" s="2611"/>
      <c r="U226" s="2611"/>
      <c r="V226" s="2611"/>
      <c r="W226" s="2611"/>
      <c r="X226" s="2611"/>
      <c r="Y226" s="2611"/>
      <c r="Z226" s="851"/>
      <c r="AA226" s="851"/>
      <c r="AB226" s="2460">
        <f t="shared" si="0"/>
        <v>0</v>
      </c>
      <c r="AC226" s="2460"/>
      <c r="AD226" s="2460"/>
      <c r="AE226" s="2460"/>
      <c r="AF226" s="2460"/>
      <c r="AG226" s="2460"/>
      <c r="AH226" s="827"/>
      <c r="AI226" s="827"/>
      <c r="AJ226" s="827"/>
      <c r="AK226" s="610"/>
    </row>
    <row r="227" spans="1:37">
      <c r="A227" s="605"/>
      <c r="B227" s="2459" t="s">
        <v>1184</v>
      </c>
      <c r="C227" s="2459"/>
      <c r="D227" s="2459"/>
      <c r="E227" s="2459"/>
      <c r="F227" s="2459"/>
      <c r="G227" s="2459"/>
      <c r="I227" s="2458"/>
      <c r="J227" s="2458"/>
      <c r="K227" s="2458"/>
      <c r="L227" s="1008"/>
      <c r="N227" s="2463"/>
      <c r="O227" s="2463"/>
      <c r="P227" s="2463"/>
      <c r="Q227" s="2463"/>
      <c r="R227" s="2463"/>
      <c r="T227" s="2611"/>
      <c r="U227" s="2611"/>
      <c r="V227" s="2611"/>
      <c r="W227" s="2611"/>
      <c r="X227" s="2611"/>
      <c r="Y227" s="2611"/>
      <c r="Z227" s="851"/>
      <c r="AA227" s="851"/>
      <c r="AB227" s="2460">
        <f t="shared" si="0"/>
        <v>0</v>
      </c>
      <c r="AC227" s="2460"/>
      <c r="AD227" s="2460"/>
      <c r="AE227" s="2460"/>
      <c r="AF227" s="2460"/>
      <c r="AG227" s="2460"/>
      <c r="AH227" s="827"/>
      <c r="AI227" s="827"/>
      <c r="AJ227" s="827"/>
      <c r="AK227" s="610"/>
    </row>
    <row r="228" spans="1:37">
      <c r="A228" s="605"/>
      <c r="B228" s="2459" t="s">
        <v>1184</v>
      </c>
      <c r="C228" s="2459"/>
      <c r="D228" s="2459"/>
      <c r="E228" s="2459"/>
      <c r="F228" s="2459"/>
      <c r="G228" s="2459"/>
      <c r="I228" s="2458"/>
      <c r="J228" s="2458"/>
      <c r="K228" s="2458"/>
      <c r="L228" s="1015"/>
      <c r="N228" s="2463"/>
      <c r="O228" s="2463"/>
      <c r="P228" s="2463"/>
      <c r="Q228" s="2463"/>
      <c r="R228" s="2463"/>
      <c r="T228" s="2611"/>
      <c r="U228" s="2611"/>
      <c r="V228" s="2611"/>
      <c r="W228" s="2611"/>
      <c r="X228" s="2611"/>
      <c r="Y228" s="2611"/>
      <c r="Z228" s="851"/>
      <c r="AA228" s="851"/>
      <c r="AB228" s="2460">
        <f t="shared" si="0"/>
        <v>0</v>
      </c>
      <c r="AC228" s="2460"/>
      <c r="AD228" s="2460"/>
      <c r="AE228" s="2460"/>
      <c r="AF228" s="2460"/>
      <c r="AG228" s="2460"/>
      <c r="AH228" s="827"/>
      <c r="AI228" s="827"/>
      <c r="AJ228" s="827"/>
      <c r="AK228" s="610"/>
    </row>
    <row r="229" spans="1:37">
      <c r="A229" s="605"/>
      <c r="B229" s="2459" t="s">
        <v>1184</v>
      </c>
      <c r="C229" s="2459"/>
      <c r="D229" s="2459"/>
      <c r="E229" s="2459"/>
      <c r="F229" s="2459"/>
      <c r="G229" s="2459"/>
      <c r="I229" s="2458"/>
      <c r="J229" s="2458"/>
      <c r="K229" s="2458"/>
      <c r="L229" s="1015"/>
      <c r="N229" s="2463"/>
      <c r="O229" s="2463"/>
      <c r="P229" s="2463"/>
      <c r="Q229" s="2463"/>
      <c r="R229" s="2463"/>
      <c r="T229" s="2611"/>
      <c r="U229" s="2611"/>
      <c r="V229" s="2611"/>
      <c r="W229" s="2611"/>
      <c r="X229" s="2611"/>
      <c r="Y229" s="2611"/>
      <c r="Z229" s="851"/>
      <c r="AA229" s="851"/>
      <c r="AB229" s="2460">
        <f t="shared" si="0"/>
        <v>0</v>
      </c>
      <c r="AC229" s="2460"/>
      <c r="AD229" s="2460"/>
      <c r="AE229" s="2460"/>
      <c r="AF229" s="2460"/>
      <c r="AG229" s="2460"/>
      <c r="AH229" s="827"/>
      <c r="AI229" s="827"/>
      <c r="AJ229" s="827"/>
      <c r="AK229" s="610"/>
    </row>
    <row r="230" spans="1:37">
      <c r="A230" s="605"/>
      <c r="B230" s="2459" t="s">
        <v>1184</v>
      </c>
      <c r="C230" s="2459"/>
      <c r="D230" s="2459"/>
      <c r="E230" s="2459"/>
      <c r="F230" s="2459"/>
      <c r="G230" s="2459"/>
      <c r="I230" s="2458"/>
      <c r="J230" s="2458"/>
      <c r="K230" s="2458"/>
      <c r="L230" s="1015"/>
      <c r="N230" s="2463"/>
      <c r="O230" s="2463"/>
      <c r="P230" s="2463"/>
      <c r="Q230" s="2463"/>
      <c r="R230" s="2463"/>
      <c r="T230" s="2611"/>
      <c r="U230" s="2611"/>
      <c r="V230" s="2611"/>
      <c r="W230" s="2611"/>
      <c r="X230" s="2611"/>
      <c r="Y230" s="2611"/>
      <c r="Z230" s="851"/>
      <c r="AA230" s="851"/>
      <c r="AB230" s="2460">
        <f t="shared" si="0"/>
        <v>0</v>
      </c>
      <c r="AC230" s="2460"/>
      <c r="AD230" s="2460"/>
      <c r="AE230" s="2460"/>
      <c r="AF230" s="2460"/>
      <c r="AG230" s="2460"/>
      <c r="AH230" s="827"/>
      <c r="AI230" s="827"/>
      <c r="AJ230" s="827"/>
      <c r="AK230" s="610"/>
    </row>
    <row r="231" spans="1:37">
      <c r="A231" s="605"/>
      <c r="B231" s="2459" t="s">
        <v>1184</v>
      </c>
      <c r="C231" s="2459"/>
      <c r="D231" s="2459"/>
      <c r="E231" s="2459"/>
      <c r="F231" s="2459"/>
      <c r="G231" s="2459"/>
      <c r="I231" s="2458"/>
      <c r="J231" s="2458"/>
      <c r="K231" s="2458"/>
      <c r="L231" s="1015"/>
      <c r="N231" s="2463"/>
      <c r="O231" s="2463"/>
      <c r="P231" s="2463"/>
      <c r="Q231" s="2463"/>
      <c r="R231" s="2463"/>
      <c r="T231" s="2611"/>
      <c r="U231" s="2611"/>
      <c r="V231" s="2611"/>
      <c r="W231" s="2611"/>
      <c r="X231" s="2611"/>
      <c r="Y231" s="2611"/>
      <c r="Z231" s="851"/>
      <c r="AA231" s="851"/>
      <c r="AB231" s="2460">
        <f t="shared" si="0"/>
        <v>0</v>
      </c>
      <c r="AC231" s="2460"/>
      <c r="AD231" s="2460"/>
      <c r="AE231" s="2460"/>
      <c r="AF231" s="2460"/>
      <c r="AG231" s="2460"/>
      <c r="AH231" s="827"/>
      <c r="AI231" s="827"/>
      <c r="AJ231" s="827"/>
      <c r="AK231" s="610"/>
    </row>
    <row r="232" spans="1:37">
      <c r="A232" s="605"/>
      <c r="B232" s="2459" t="s">
        <v>1184</v>
      </c>
      <c r="C232" s="2459"/>
      <c r="D232" s="2459"/>
      <c r="E232" s="2459"/>
      <c r="F232" s="2459"/>
      <c r="G232" s="2459"/>
      <c r="I232" s="2458"/>
      <c r="J232" s="2458"/>
      <c r="K232" s="2458"/>
      <c r="L232" s="1015"/>
      <c r="N232" s="2463"/>
      <c r="O232" s="2463"/>
      <c r="P232" s="2463"/>
      <c r="Q232" s="2463"/>
      <c r="R232" s="2463"/>
      <c r="T232" s="2611"/>
      <c r="U232" s="2611"/>
      <c r="V232" s="2611"/>
      <c r="W232" s="2611"/>
      <c r="X232" s="2611"/>
      <c r="Y232" s="2611"/>
      <c r="Z232" s="851"/>
      <c r="AA232" s="851"/>
      <c r="AB232" s="2460">
        <f t="shared" si="0"/>
        <v>0</v>
      </c>
      <c r="AC232" s="2460"/>
      <c r="AD232" s="2460"/>
      <c r="AE232" s="2460"/>
      <c r="AF232" s="2460"/>
      <c r="AG232" s="2460"/>
      <c r="AH232" s="827"/>
      <c r="AI232" s="827"/>
      <c r="AJ232" s="827"/>
      <c r="AK232" s="610"/>
    </row>
    <row r="233" spans="1:37">
      <c r="A233" s="605"/>
      <c r="B233" s="2459" t="s">
        <v>1184</v>
      </c>
      <c r="C233" s="2459"/>
      <c r="D233" s="2459"/>
      <c r="E233" s="2459"/>
      <c r="F233" s="2459"/>
      <c r="G233" s="2459"/>
      <c r="I233" s="2461"/>
      <c r="J233" s="2461"/>
      <c r="K233" s="2461"/>
      <c r="L233" s="1015"/>
      <c r="N233" s="2463"/>
      <c r="O233" s="2463"/>
      <c r="P233" s="2463"/>
      <c r="Q233" s="2463"/>
      <c r="R233" s="2463"/>
      <c r="T233" s="2611"/>
      <c r="U233" s="2611"/>
      <c r="V233" s="2611"/>
      <c r="W233" s="2611"/>
      <c r="X233" s="2611"/>
      <c r="Y233" s="2611"/>
      <c r="Z233" s="851"/>
      <c r="AA233" s="851"/>
      <c r="AB233" s="2609">
        <f t="shared" si="0"/>
        <v>0</v>
      </c>
      <c r="AC233" s="2609"/>
      <c r="AD233" s="2609"/>
      <c r="AE233" s="2609"/>
      <c r="AF233" s="2609"/>
      <c r="AG233" s="260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0">
        <f>SUM(AB224:AB233)</f>
        <v>0</v>
      </c>
      <c r="AC234" s="2460"/>
      <c r="AD234" s="2460"/>
      <c r="AE234" s="2460"/>
      <c r="AF234" s="2460"/>
      <c r="AG234" s="246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2">
        <v>940536</v>
      </c>
      <c r="AC240" s="2612"/>
      <c r="AD240" s="2612"/>
      <c r="AE240" s="2612"/>
      <c r="AF240" s="2612"/>
      <c r="AG240" s="2612"/>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2"/>
      <c r="AC243" s="2612"/>
      <c r="AD243" s="2612"/>
      <c r="AE243" s="2612"/>
      <c r="AF243" s="2612"/>
      <c r="AG243" s="2612"/>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4">
        <v>20</v>
      </c>
      <c r="AC244" s="2644"/>
      <c r="AD244" s="2644"/>
      <c r="AE244" s="2644"/>
      <c r="AF244" s="2644"/>
      <c r="AG244" s="2644"/>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6">
        <f>IFERROR(AB243/AB244,0)</f>
        <v>0</v>
      </c>
      <c r="AC245" s="2626"/>
      <c r="AD245" s="2626"/>
      <c r="AE245" s="2626"/>
      <c r="AF245" s="2626"/>
      <c r="AG245" s="262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9">
        <f>MAX(AB240,AB245)</f>
        <v>940536</v>
      </c>
      <c r="AC247" s="2609"/>
      <c r="AD247" s="2609"/>
      <c r="AE247" s="2609"/>
      <c r="AF247" s="2609"/>
      <c r="AG247" s="260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0">
        <f>AB234+AB247</f>
        <v>940536</v>
      </c>
      <c r="AC250" s="2460"/>
      <c r="AD250" s="2460"/>
      <c r="AE250" s="2460"/>
      <c r="AF250" s="2460"/>
      <c r="AG250" s="246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2">
        <v>0.05</v>
      </c>
      <c r="AC251" s="2492"/>
      <c r="AD251" s="2492"/>
      <c r="AE251" s="2492"/>
      <c r="AF251" s="2492"/>
      <c r="AG251" s="2492"/>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3">
        <f>AB250-(AB250*AB251)</f>
        <v>893509.2</v>
      </c>
      <c r="AC252" s="2493"/>
      <c r="AD252" s="2493"/>
      <c r="AE252" s="2493"/>
      <c r="AF252" s="2493"/>
      <c r="AG252" s="2493"/>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0">
        <f>AB252/AB258</f>
        <v>776964.52173913049</v>
      </c>
      <c r="AC254" s="2460"/>
      <c r="AD254" s="2460"/>
      <c r="AE254" s="2460"/>
      <c r="AF254" s="2460"/>
      <c r="AG254" s="246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2">
        <v>15</v>
      </c>
      <c r="AC256" s="2452"/>
      <c r="AD256" s="2452"/>
      <c r="AE256" s="2452"/>
      <c r="AF256" s="2452"/>
      <c r="AG256" s="245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4">
        <v>0.04</v>
      </c>
      <c r="AC257" s="2494"/>
      <c r="AD257" s="2494"/>
      <c r="AE257" s="2494"/>
      <c r="AF257" s="2494"/>
      <c r="AG257" s="249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5">
        <v>1.1499999999999999</v>
      </c>
      <c r="AC258" s="2465"/>
      <c r="AD258" s="2465"/>
      <c r="AE258" s="2465"/>
      <c r="AF258" s="2465"/>
      <c r="AG258" s="246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5">
        <f>PV(AB257/12,AB256*12,-AB254/12, ,0)</f>
        <v>8753291.9271233119</v>
      </c>
      <c r="AC260" s="2486"/>
      <c r="AD260" s="2486"/>
      <c r="AE260" s="2486"/>
      <c r="AF260" s="2486"/>
      <c r="AG260" s="248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9">
        <f>IFERROR(('Sources and Uses Budget'!D105/'Sources and Uses Budget'!B105),0)</f>
        <v>0</v>
      </c>
      <c r="AC266" s="2490"/>
      <c r="AD266" s="2490"/>
      <c r="AE266" s="2490"/>
      <c r="AF266" s="2490"/>
      <c r="AG266" s="249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9">
        <f>AD211*(1-AB266)</f>
        <v>41553291.927123308</v>
      </c>
      <c r="AH268" s="2479"/>
      <c r="AI268" s="2479"/>
      <c r="AJ268" s="2479"/>
      <c r="AK268" s="2479"/>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9">
        <f>'Sources and Uses Budget'!C105</f>
        <v>81702348</v>
      </c>
      <c r="AH269" s="2479"/>
      <c r="AI269" s="2479"/>
      <c r="AJ269" s="2479"/>
      <c r="AK269" s="247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0">
        <f>ROUNDDOWN(IF(AND(C292="Yes",AK84=10),((AG268*2)/AG269),AG268/AG269),2)</f>
        <v>0.5</v>
      </c>
      <c r="AH270" s="2480"/>
      <c r="AI270" s="2480"/>
      <c r="AJ270" s="2480"/>
      <c r="AK270" s="248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1">
        <f>IFERROR(IF(AG270=0,0,IF((AG270*100)&gt;8,8,(AG270*100))),0)</f>
        <v>8</v>
      </c>
      <c r="AL273" s="2481"/>
      <c r="AM273" s="248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3" t="s">
        <v>545</v>
      </c>
      <c r="D278" s="2473"/>
      <c r="E278" s="547"/>
      <c r="F278" s="2630" t="s">
        <v>2025</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0"/>
      <c r="AF278" s="635"/>
      <c r="AG278" s="2474" t="s">
        <v>1363</v>
      </c>
      <c r="AH278" s="2474"/>
      <c r="AI278" s="2474"/>
      <c r="AJ278" s="2474"/>
      <c r="AK278" s="550"/>
      <c r="AL278" s="550"/>
      <c r="AM278" s="550"/>
      <c r="AO278" s="550"/>
    </row>
    <row r="279" spans="1:52" ht="13.7" customHeight="1">
      <c r="A279" s="550"/>
      <c r="B279" s="596"/>
      <c r="C279" s="636"/>
      <c r="D279" s="550"/>
      <c r="E279" s="547"/>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0"/>
      <c r="AF279" s="635"/>
      <c r="AG279" s="635"/>
      <c r="AH279" s="635"/>
      <c r="AI279" s="635"/>
      <c r="AJ279" s="550"/>
      <c r="AK279" s="550"/>
      <c r="AL279" s="550"/>
      <c r="AM279" s="550"/>
      <c r="AO279" s="550"/>
    </row>
    <row r="280" spans="1:52">
      <c r="A280" s="550"/>
      <c r="B280" s="596"/>
      <c r="C280" s="636"/>
      <c r="D280" s="550"/>
      <c r="E280" s="547"/>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0"/>
      <c r="AF280" s="635"/>
      <c r="AG280" s="635"/>
      <c r="AH280" s="635"/>
      <c r="AI280" s="635"/>
      <c r="AJ280" s="550"/>
      <c r="AK280" s="550"/>
      <c r="AL280" s="550"/>
      <c r="AM280" s="550"/>
      <c r="AO280" s="550"/>
      <c r="AP280" s="637"/>
    </row>
    <row r="281" spans="1:52">
      <c r="A281" s="550"/>
      <c r="B281" s="596"/>
      <c r="C281" s="636"/>
      <c r="D281" s="550"/>
      <c r="E281" s="547"/>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0"/>
      <c r="AF281" s="635"/>
      <c r="AG281" s="635"/>
      <c r="AH281" s="635"/>
      <c r="AI281" s="635"/>
      <c r="AJ281" s="550"/>
      <c r="AK281" s="550"/>
      <c r="AL281" s="550"/>
      <c r="AM281" s="550"/>
      <c r="AO281" s="550"/>
      <c r="AP281" s="637"/>
    </row>
    <row r="282" spans="1:52" ht="13.7" customHeight="1">
      <c r="A282" s="550"/>
      <c r="B282" s="596"/>
      <c r="C282" s="2475"/>
      <c r="D282" s="2475"/>
      <c r="E282" s="547"/>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0"/>
      <c r="AF282" s="635"/>
      <c r="AG282" s="2474"/>
      <c r="AH282" s="2474"/>
      <c r="AI282" s="2474"/>
      <c r="AJ282" s="247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1">
        <f>IF($C$278="yes",10,0)</f>
        <v>10</v>
      </c>
      <c r="AL285" s="2481"/>
      <c r="AM285" s="248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69" t="s">
        <v>591</v>
      </c>
      <c r="D292" s="2473"/>
      <c r="E292" s="547"/>
      <c r="F292" s="2501" t="s">
        <v>1383</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2"/>
      <c r="AF292" s="550"/>
      <c r="AG292" s="2504" t="s">
        <v>2018</v>
      </c>
      <c r="AH292" s="2504"/>
      <c r="AI292" s="2504"/>
      <c r="AJ292" s="2504"/>
      <c r="AK292" s="2504"/>
      <c r="AL292" s="550"/>
      <c r="AM292" s="550"/>
      <c r="AN292" s="73"/>
      <c r="AO292" s="14"/>
      <c r="AP292" s="30"/>
      <c r="AS292" s="570"/>
      <c r="AT292" s="570"/>
      <c r="AU292" s="570"/>
      <c r="AV292" s="32"/>
      <c r="AW292" s="32"/>
    </row>
    <row r="293" spans="1:49">
      <c r="A293" s="640"/>
      <c r="B293" s="596"/>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5" t="s">
        <v>2026</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5" t="s">
        <v>1384</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5" t="s">
        <v>1385</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3" t="s">
        <v>545</v>
      </c>
      <c r="D302" s="247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3" t="s">
        <v>2020</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1"/>
      <c r="AF303" s="551"/>
      <c r="AG303" s="551"/>
      <c r="AH303" s="551"/>
      <c r="AI303" s="551"/>
      <c r="AJ303" s="550"/>
      <c r="AK303" s="550"/>
      <c r="AL303" s="550"/>
      <c r="AM303" s="550"/>
      <c r="AR303" s="648"/>
    </row>
    <row r="304" spans="1:49" ht="15" customHeight="1">
      <c r="A304" s="550"/>
      <c r="B304" s="551"/>
      <c r="C304" s="550"/>
      <c r="D304" s="551"/>
      <c r="E304" s="550"/>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1"/>
      <c r="AF304" s="551"/>
      <c r="AG304" s="551"/>
      <c r="AH304" s="551"/>
      <c r="AI304" s="551"/>
      <c r="AJ304" s="550"/>
      <c r="AK304" s="550"/>
      <c r="AL304" s="550"/>
      <c r="AM304" s="550"/>
      <c r="AR304" s="648"/>
    </row>
    <row r="305" spans="1:44">
      <c r="A305" s="550"/>
      <c r="B305" s="551"/>
      <c r="C305" s="550"/>
      <c r="D305" s="551"/>
      <c r="E305" s="550"/>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73" t="s">
        <v>591</v>
      </c>
      <c r="D310" s="247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5" t="s">
        <v>2027</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1"/>
      <c r="AF311" s="551"/>
      <c r="AG311" s="539"/>
      <c r="AH311" s="551"/>
      <c r="AI311" s="551"/>
      <c r="AJ311" s="550"/>
      <c r="AK311" s="550"/>
      <c r="AL311" s="550"/>
      <c r="AM311" s="550"/>
      <c r="AN311" s="73"/>
      <c r="AO311" s="14"/>
      <c r="AP311" s="557" t="s">
        <v>1184</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5" t="s">
        <v>1184</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2"/>
      <c r="AF316" s="642"/>
      <c r="AG316" s="642"/>
      <c r="AH316" s="642"/>
      <c r="AI316" s="642"/>
      <c r="AJ316" s="642"/>
      <c r="AK316" s="642"/>
      <c r="AL316" s="550"/>
      <c r="AM316" s="550"/>
      <c r="AN316" s="73"/>
      <c r="AO316" s="14"/>
      <c r="AP316" s="30"/>
    </row>
    <row r="317" spans="1:44" hidden="1">
      <c r="A317" s="550"/>
      <c r="B317" s="551"/>
      <c r="C317" s="730"/>
      <c r="D317" s="730"/>
      <c r="E317" s="547"/>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1"/>
      <c r="AF317" s="551"/>
      <c r="AG317" s="539"/>
      <c r="AH317" s="551"/>
      <c r="AI317" s="551"/>
      <c r="AJ317" s="550"/>
      <c r="AK317" s="550"/>
      <c r="AL317" s="550"/>
      <c r="AM317" s="550"/>
      <c r="AN317" s="73"/>
      <c r="AO317" s="14"/>
      <c r="AP317" s="30"/>
    </row>
    <row r="318" spans="1:44" hidden="1">
      <c r="A318" s="550"/>
      <c r="B318" s="551"/>
      <c r="C318" s="730"/>
      <c r="D318" s="730"/>
      <c r="E318" s="547"/>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1"/>
      <c r="AF318" s="551"/>
      <c r="AG318" s="539"/>
      <c r="AH318" s="551"/>
      <c r="AI318" s="551"/>
      <c r="AJ318" s="550"/>
      <c r="AK318" s="550"/>
      <c r="AL318" s="550"/>
      <c r="AM318" s="550"/>
      <c r="AN318" s="73"/>
      <c r="AO318" s="14"/>
      <c r="AP318" s="30"/>
    </row>
    <row r="319" spans="1:44" hidden="1">
      <c r="A319" s="550"/>
      <c r="B319" s="551"/>
      <c r="C319" s="730"/>
      <c r="D319" s="730"/>
      <c r="E319" s="547"/>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1"/>
      <c r="AF319" s="551"/>
      <c r="AG319" s="539"/>
      <c r="AH319" s="551"/>
      <c r="AI319" s="551"/>
      <c r="AJ319" s="550"/>
      <c r="AK319" s="550"/>
      <c r="AL319" s="550"/>
      <c r="AM319" s="550"/>
      <c r="AN319" s="73"/>
      <c r="AO319" s="14"/>
      <c r="AP319" s="30"/>
    </row>
    <row r="320" spans="1:44" hidden="1">
      <c r="A320" s="550"/>
      <c r="B320" s="551"/>
      <c r="C320" s="730"/>
      <c r="D320" s="730"/>
      <c r="E320" s="547"/>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1" t="s">
        <v>1184</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1" t="s">
        <v>1184</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3" t="s">
        <v>591</v>
      </c>
      <c r="D333" s="2473"/>
      <c r="E333" s="547"/>
      <c r="F333" s="2397" t="s">
        <v>2028</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1"/>
      <c r="AF334" s="551"/>
      <c r="AG334" s="551"/>
      <c r="AH334" s="551"/>
      <c r="AI334" s="551"/>
      <c r="AJ334" s="550"/>
      <c r="AK334" s="550"/>
      <c r="AL334" s="550"/>
      <c r="AM334" s="550"/>
      <c r="AN334" s="73"/>
      <c r="AO334" s="14"/>
    </row>
    <row r="335" spans="1:42" ht="15" hidden="1" customHeight="1">
      <c r="A335" s="550"/>
      <c r="B335" s="551"/>
      <c r="C335" s="551"/>
      <c r="D335" s="551"/>
      <c r="E335" s="551"/>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6">
        <f>IF(NOT(OR(Application!M355="Yes",Application!M356="Yes")),0,AP295)</f>
        <v>9</v>
      </c>
      <c r="AL338" s="2477"/>
      <c r="AM338" s="247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6" t="s">
        <v>1314</v>
      </c>
      <c r="AF341" s="2406"/>
      <c r="AG341" s="2406"/>
      <c r="AH341" s="2406"/>
      <c r="AI341" s="2406"/>
      <c r="AJ341" s="2406"/>
      <c r="AK341" s="240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5" t="s">
        <v>1454</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3"/>
      <c r="AL343" s="603"/>
      <c r="AM343" s="603"/>
      <c r="AN343" s="597"/>
    </row>
    <row r="344" spans="1:44" s="550" customFormat="1" ht="12.75" customHeight="1">
      <c r="A344" s="603"/>
      <c r="B344" s="611"/>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3"/>
      <c r="AL344" s="603"/>
      <c r="AM344" s="603"/>
      <c r="AN344" s="597"/>
    </row>
    <row r="345" spans="1:44" s="550" customFormat="1" ht="12.75" customHeight="1">
      <c r="A345" s="603"/>
      <c r="B345" s="611"/>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3"/>
      <c r="AL345" s="603"/>
      <c r="AM345" s="603"/>
      <c r="AN345" s="597"/>
      <c r="AQ345" s="570"/>
    </row>
    <row r="346" spans="1:44" s="550" customFormat="1" ht="12.75" customHeight="1">
      <c r="A346" s="603"/>
      <c r="B346" s="611"/>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3"/>
      <c r="AL346" s="603"/>
      <c r="AM346" s="603"/>
      <c r="AN346" s="597"/>
      <c r="AQ346" s="570"/>
    </row>
    <row r="347" spans="1:44" s="550" customFormat="1" ht="12.6" customHeight="1">
      <c r="A347" s="603"/>
      <c r="B347" s="611"/>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3"/>
      <c r="AL347" s="603"/>
      <c r="AM347" s="603"/>
      <c r="AN347" s="597"/>
      <c r="AQ347" s="570"/>
      <c r="AR347" s="570"/>
    </row>
    <row r="348" spans="1:44" s="550" customFormat="1" ht="45.75" customHeight="1">
      <c r="A348" s="603"/>
      <c r="B348" s="611"/>
      <c r="C348" s="2515" t="s">
        <v>2093</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5" t="s">
        <v>2208</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3"/>
      <c r="AL350" s="603"/>
      <c r="AM350" s="603"/>
      <c r="AN350" s="597"/>
      <c r="AQ350" s="570"/>
      <c r="AR350" s="570"/>
    </row>
    <row r="351" spans="1:44" s="550" customFormat="1" ht="30" customHeight="1">
      <c r="A351" s="603"/>
      <c r="B351" s="611"/>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3"/>
      <c r="AL351" s="603"/>
      <c r="AM351" s="603"/>
      <c r="AN351" s="597"/>
      <c r="AR351" s="570"/>
    </row>
    <row r="352" spans="1:44" s="550" customFormat="1" ht="12.75" customHeight="1">
      <c r="A352" s="603"/>
      <c r="B352" s="611"/>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3"/>
      <c r="AL352" s="603"/>
      <c r="AM352" s="603"/>
      <c r="AN352" s="597"/>
      <c r="AR352" s="570"/>
    </row>
    <row r="353" spans="1:46" s="550" customFormat="1" ht="12.75" customHeight="1">
      <c r="A353" s="603"/>
      <c r="B353" s="611"/>
      <c r="C353" s="2515" t="s">
        <v>1455</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3"/>
      <c r="AL353" s="603"/>
      <c r="AM353" s="603"/>
      <c r="AN353" s="597"/>
      <c r="AQ353" s="570"/>
      <c r="AR353" s="570"/>
    </row>
    <row r="354" spans="1:46" s="550" customFormat="1" ht="12.75" customHeight="1">
      <c r="A354" s="603"/>
      <c r="B354" s="611"/>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3"/>
      <c r="AL354" s="603"/>
      <c r="AM354" s="603"/>
      <c r="AN354" s="597"/>
      <c r="AQ354" s="570"/>
      <c r="AR354" s="570"/>
    </row>
    <row r="355" spans="1:46" s="550" customFormat="1" ht="13.35" customHeight="1">
      <c r="A355" s="603"/>
      <c r="B355" s="611"/>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3"/>
      <c r="AL355" s="603"/>
      <c r="AM355" s="603"/>
      <c r="AN355" s="597"/>
      <c r="AQ355" s="570"/>
      <c r="AR355" s="570"/>
    </row>
    <row r="356" spans="1:46" s="550" customFormat="1" ht="12.75" customHeight="1">
      <c r="A356" s="603"/>
      <c r="B356" s="611"/>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3"/>
      <c r="AL356" s="603"/>
      <c r="AM356" s="603"/>
      <c r="AN356" s="597"/>
      <c r="AO356" s="694"/>
      <c r="AP356" s="694"/>
      <c r="AQ356" s="570"/>
    </row>
    <row r="357" spans="1:46" s="550" customFormat="1" ht="11.85" customHeight="1">
      <c r="A357" s="603"/>
      <c r="B357" s="611"/>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3"/>
      <c r="AL357" s="603"/>
      <c r="AM357" s="603"/>
      <c r="AN357" s="597"/>
      <c r="AO357" s="695" t="s">
        <v>112</v>
      </c>
      <c r="AP357" s="696">
        <f>IF(C381="Yes",5,0)</f>
        <v>5</v>
      </c>
      <c r="AS357" s="539" t="s">
        <v>1456</v>
      </c>
    </row>
    <row r="358" spans="1:46" s="550" customFormat="1" ht="12.75" customHeight="1">
      <c r="A358" s="603"/>
      <c r="B358" s="611"/>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3"/>
      <c r="AL358" s="603"/>
      <c r="AM358" s="603"/>
      <c r="AN358" s="597"/>
      <c r="AO358" s="695" t="s">
        <v>113</v>
      </c>
      <c r="AP358" s="696">
        <f>IF(C389="Yes",5,0)</f>
        <v>0</v>
      </c>
      <c r="AS358" s="2536">
        <f>IF(Application!D211="Non-Targeted",(SUM(AQ366+AQ375)),AS362)</f>
        <v>10</v>
      </c>
      <c r="AT358" s="2536"/>
    </row>
    <row r="359" spans="1:46" s="550" customFormat="1" ht="12.75" customHeight="1">
      <c r="A359" s="603"/>
      <c r="B359" s="611"/>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3"/>
      <c r="AL359" s="603"/>
      <c r="AM359" s="603"/>
      <c r="AN359" s="597"/>
      <c r="AO359" s="695" t="s">
        <v>119</v>
      </c>
      <c r="AP359" s="696">
        <f>IF(C397="Yes",7,0)</f>
        <v>0</v>
      </c>
      <c r="AS359" s="539" t="s">
        <v>1457</v>
      </c>
    </row>
    <row r="360" spans="1:46" s="550" customFormat="1" ht="12.75" customHeight="1">
      <c r="A360" s="603"/>
      <c r="B360" s="611"/>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3"/>
      <c r="AL360" s="603"/>
      <c r="AM360" s="603"/>
      <c r="AN360" s="597"/>
      <c r="AO360" s="597"/>
      <c r="AP360" s="696">
        <f>IF(C399="Yes",5,0)</f>
        <v>5</v>
      </c>
      <c r="AS360" s="2536">
        <f>IF(AND(AQ366&gt;0,AQ375&gt;0),(AQ366+AQ375)/2,0)</f>
        <v>0</v>
      </c>
      <c r="AT360" s="2536"/>
    </row>
    <row r="361" spans="1:46" s="550" customFormat="1" ht="12.75" customHeight="1">
      <c r="A361" s="603"/>
      <c r="B361" s="611"/>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3"/>
      <c r="AL361" s="603"/>
      <c r="AM361" s="603"/>
      <c r="AN361" s="597"/>
      <c r="AO361" s="695" t="s">
        <v>581</v>
      </c>
      <c r="AP361" s="696">
        <f>IF(C407="Yes",5,0)</f>
        <v>0</v>
      </c>
      <c r="AS361" s="539" t="s">
        <v>1879</v>
      </c>
    </row>
    <row r="362" spans="1:46" s="550" customFormat="1" ht="12.75" customHeight="1">
      <c r="A362" s="603"/>
      <c r="B362" s="611"/>
      <c r="C362" s="2537" t="s">
        <v>2233</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0</v>
      </c>
      <c r="AS362" s="2536">
        <f>IF(AQ366=0,AQ375,AQ366)</f>
        <v>10</v>
      </c>
      <c r="AT362" s="2536"/>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763</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584</v>
      </c>
      <c r="AP364" s="696">
        <f>IF(C421="Yes",5,0)</f>
        <v>0</v>
      </c>
    </row>
    <row r="365" spans="1:46" s="550" customFormat="1" ht="11.85"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6"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226</v>
      </c>
      <c r="AP366" s="700">
        <f>SUM(AP357:AP365)</f>
        <v>10</v>
      </c>
      <c r="AQ366" s="2538">
        <f>IF(AP366&gt;0,AP366,0)</f>
        <v>10</v>
      </c>
      <c r="AR366" s="2538"/>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5" t="s">
        <v>1458</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3"/>
      <c r="AL369" s="603"/>
      <c r="AM369" s="603"/>
      <c r="AN369" s="597"/>
      <c r="AO369" s="695" t="s">
        <v>456</v>
      </c>
      <c r="AP369" s="696">
        <f>IF(C442="Yes",5,0)</f>
        <v>0</v>
      </c>
    </row>
    <row r="370" spans="1:81" s="550" customFormat="1" ht="12.75" customHeight="1">
      <c r="A370" s="603"/>
      <c r="B370" s="611"/>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3"/>
      <c r="AL370" s="603"/>
      <c r="AM370" s="603"/>
      <c r="AN370" s="597"/>
      <c r="AO370" s="695" t="s">
        <v>461</v>
      </c>
      <c r="AP370" s="696">
        <f>IF(C449="Yes",5,0)</f>
        <v>0</v>
      </c>
    </row>
    <row r="371" spans="1:81" s="550" customFormat="1" ht="68.099999999999994" customHeight="1">
      <c r="A371" s="603"/>
      <c r="B371" s="611"/>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3"/>
      <c r="AL371" s="603"/>
      <c r="AM371" s="603"/>
      <c r="AN371" s="597"/>
      <c r="AO371" s="695" t="s">
        <v>646</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3">
        <f>Application!DU802-U374</f>
        <v>96</v>
      </c>
      <c r="V373" s="2623"/>
      <c r="W373" s="2623"/>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4">
        <f>IF(Application!D211="SRO",Application!DU755,Application!AG756)</f>
        <v>0</v>
      </c>
      <c r="V374" s="2624"/>
      <c r="W374" s="262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8">
        <f>IF(AP375&gt;0,AP375,0)</f>
        <v>0</v>
      </c>
      <c r="AR375" s="25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9" t="s">
        <v>1460</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6" t="s">
        <v>545</v>
      </c>
      <c r="D381" s="247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7" t="s">
        <v>1462</v>
      </c>
      <c r="AG381" s="2517"/>
      <c r="AH381" s="2517"/>
      <c r="AI381" s="2517"/>
      <c r="AJ381" s="2517"/>
      <c r="AK381" s="2517"/>
      <c r="AL381" s="251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9" t="s">
        <v>1463</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2"/>
      <c r="AN388" s="597"/>
      <c r="BS388" s="30"/>
      <c r="BT388" s="30"/>
      <c r="BU388" s="14"/>
      <c r="BV388" s="14"/>
      <c r="BW388" s="14"/>
      <c r="BX388" s="14"/>
      <c r="BY388" s="14"/>
      <c r="BZ388" s="14"/>
      <c r="CA388" s="14"/>
      <c r="CB388" s="14"/>
      <c r="CC388" s="14"/>
    </row>
    <row r="389" spans="1:81" s="550" customFormat="1" ht="12.75" customHeight="1">
      <c r="A389" s="536"/>
      <c r="B389" s="14"/>
      <c r="C389" s="2516" t="s">
        <v>591</v>
      </c>
      <c r="D389" s="247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7" t="s">
        <v>1462</v>
      </c>
      <c r="AG389" s="2517"/>
      <c r="AH389" s="2517"/>
      <c r="AI389" s="2517"/>
      <c r="AJ389" s="2517"/>
      <c r="AK389" s="2517"/>
      <c r="AL389" s="251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9" t="s">
        <v>1465</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6" t="s">
        <v>591</v>
      </c>
      <c r="D397" s="247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7" t="s">
        <v>1467</v>
      </c>
      <c r="AG397" s="2517"/>
      <c r="AH397" s="2517"/>
      <c r="AI397" s="2517"/>
      <c r="AJ397" s="2517"/>
      <c r="AK397" s="2517"/>
      <c r="AL397" s="251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6" t="s">
        <v>545</v>
      </c>
      <c r="D399" s="247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7" t="s">
        <v>1462</v>
      </c>
      <c r="AG399" s="2517"/>
      <c r="AH399" s="2517"/>
      <c r="AI399" s="2517"/>
      <c r="AJ399" s="2517"/>
      <c r="AK399" s="2517"/>
      <c r="AL399" s="251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9" t="s">
        <v>1471</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6" t="s">
        <v>591</v>
      </c>
      <c r="D407" s="247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7" t="s">
        <v>1462</v>
      </c>
      <c r="AG407" s="2517"/>
      <c r="AH407" s="2517"/>
      <c r="AI407" s="2517"/>
      <c r="AJ407" s="2517"/>
      <c r="AK407" s="2517"/>
      <c r="AL407" s="251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6" t="s">
        <v>591</v>
      </c>
      <c r="D409" s="247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7" t="s">
        <v>1474</v>
      </c>
      <c r="AG409" s="2517"/>
      <c r="AH409" s="2517"/>
      <c r="AI409" s="2517"/>
      <c r="AJ409" s="2517"/>
      <c r="AK409" s="2517"/>
      <c r="AL409" s="251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6" t="s">
        <v>591</v>
      </c>
      <c r="D412" s="2473"/>
      <c r="E412" s="715" t="s">
        <v>1475</v>
      </c>
      <c r="F412" s="2519" t="s">
        <v>1476</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1462</v>
      </c>
      <c r="AG413" s="2441"/>
      <c r="AH413" s="2441"/>
      <c r="AI413" s="2441"/>
      <c r="AJ413" s="2441"/>
      <c r="AK413" s="2441"/>
      <c r="AL413" s="2521"/>
      <c r="AM413" s="570"/>
      <c r="AN413" s="597"/>
      <c r="BS413" s="570"/>
      <c r="BT413" s="570"/>
      <c r="BY413" s="570"/>
      <c r="BZ413" s="570"/>
      <c r="CA413" s="570"/>
      <c r="CB413" s="570"/>
      <c r="CC413" s="570"/>
    </row>
    <row r="414" spans="1:81" s="550" customFormat="1" ht="12.75" customHeight="1">
      <c r="A414" s="536"/>
      <c r="B414" s="14"/>
      <c r="C414" s="731"/>
      <c r="D414" s="14"/>
      <c r="E414" s="691"/>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9" t="s">
        <v>1478</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7"/>
      <c r="AG417" s="747"/>
      <c r="AH417" s="747"/>
      <c r="AI417" s="747"/>
      <c r="AJ417" s="747"/>
      <c r="AK417" s="747"/>
      <c r="AL417" s="748"/>
      <c r="AM417" s="570"/>
    </row>
    <row r="418" spans="1:55">
      <c r="A418" s="536"/>
      <c r="C418" s="731"/>
      <c r="E418" s="691"/>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39"/>
      <c r="AG418" s="536"/>
      <c r="AH418" s="550"/>
      <c r="AI418" s="550"/>
      <c r="AJ418" s="550"/>
      <c r="AK418" s="550"/>
      <c r="AL418" s="732"/>
      <c r="AM418" s="570"/>
    </row>
    <row r="419" spans="1:55" s="550" customFormat="1" ht="12.75" customHeight="1">
      <c r="A419" s="536"/>
      <c r="B419" s="14"/>
      <c r="C419" s="731"/>
      <c r="D419" s="14"/>
      <c r="E419" s="691"/>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2"/>
      <c r="AM419" s="570"/>
      <c r="AN419" s="597"/>
    </row>
    <row r="420" spans="1:55" s="550" customFormat="1" ht="12.75" customHeight="1">
      <c r="A420" s="536"/>
      <c r="B420" s="14"/>
      <c r="C420" s="739"/>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2"/>
      <c r="AM420" s="570"/>
      <c r="AN420" s="597"/>
    </row>
    <row r="421" spans="1:55" s="550" customFormat="1" ht="12.75" customHeight="1">
      <c r="A421" s="536"/>
      <c r="B421" s="14"/>
      <c r="C421" s="2516" t="s">
        <v>591</v>
      </c>
      <c r="D421" s="247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1" t="s">
        <v>1462</v>
      </c>
      <c r="AG421" s="2441"/>
      <c r="AH421" s="2441"/>
      <c r="AI421" s="2441"/>
      <c r="AJ421" s="2441"/>
      <c r="AK421" s="2441"/>
      <c r="AL421" s="2521"/>
      <c r="AM421" s="570"/>
      <c r="AN421" s="597"/>
    </row>
    <row r="422" spans="1:55" s="550" customFormat="1" ht="12.75" customHeight="1">
      <c r="A422" s="536"/>
      <c r="B422" s="14"/>
      <c r="C422" s="739"/>
      <c r="AL422" s="732"/>
      <c r="AM422" s="570"/>
      <c r="AN422" s="597"/>
    </row>
    <row r="423" spans="1:55" s="550" customFormat="1" ht="12.75" customHeight="1">
      <c r="A423" s="536"/>
      <c r="B423" s="14"/>
      <c r="C423" s="2516" t="s">
        <v>591</v>
      </c>
      <c r="D423" s="247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1" t="s">
        <v>1474</v>
      </c>
      <c r="AG423" s="2441"/>
      <c r="AH423" s="2441"/>
      <c r="AI423" s="2441"/>
      <c r="AJ423" s="2441"/>
      <c r="AK423" s="2441"/>
      <c r="AL423" s="252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9" t="s">
        <v>1482</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4"/>
      <c r="AG427" s="714"/>
      <c r="AH427" s="714"/>
      <c r="AI427" s="714"/>
      <c r="AJ427" s="714"/>
      <c r="AK427" s="714"/>
      <c r="AL427" s="745"/>
      <c r="AM427" s="570"/>
      <c r="AN427" s="597"/>
    </row>
    <row r="428" spans="1:55" s="550" customFormat="1" ht="12.75" customHeight="1">
      <c r="A428" s="536"/>
      <c r="B428" s="14"/>
      <c r="C428" s="731"/>
      <c r="D428" s="14"/>
      <c r="E428" s="691"/>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39"/>
      <c r="AG428" s="536"/>
      <c r="AL428" s="732"/>
      <c r="AM428" s="570"/>
      <c r="AN428" s="597"/>
    </row>
    <row r="429" spans="1:55" s="550" customFormat="1" ht="12.6" customHeight="1">
      <c r="A429" s="536"/>
      <c r="B429" s="14"/>
      <c r="C429" s="731"/>
      <c r="D429" s="14"/>
      <c r="E429" s="691"/>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2"/>
      <c r="AM429" s="570"/>
      <c r="AN429" s="597"/>
    </row>
    <row r="430" spans="1:55" s="550" customFormat="1" ht="12.75" customHeight="1">
      <c r="A430" s="536"/>
      <c r="B430" s="14"/>
      <c r="C430" s="2516" t="s">
        <v>591</v>
      </c>
      <c r="D430" s="247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1" t="s">
        <v>1462</v>
      </c>
      <c r="AG430" s="2441"/>
      <c r="AH430" s="2441"/>
      <c r="AI430" s="2441"/>
      <c r="AJ430" s="2441"/>
      <c r="AK430" s="2441"/>
      <c r="AL430" s="252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519" t="s">
        <v>1485</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7"/>
      <c r="AG433" s="747"/>
      <c r="AH433" s="747"/>
      <c r="AI433" s="747"/>
      <c r="AJ433" s="747"/>
      <c r="AK433" s="747"/>
      <c r="AL433" s="748"/>
      <c r="AM433" s="570"/>
      <c r="AO433" s="550"/>
      <c r="AP433" s="550"/>
      <c r="BD433" s="14"/>
      <c r="BE433" s="14"/>
      <c r="BF433" s="14"/>
      <c r="BG433" s="14"/>
      <c r="BH433" s="14"/>
    </row>
    <row r="434" spans="1:60">
      <c r="A434" s="536"/>
      <c r="C434" s="731"/>
      <c r="E434" s="691"/>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4"/>
      <c r="AG434" s="594"/>
      <c r="AH434" s="594"/>
      <c r="AI434" s="594"/>
      <c r="AJ434" s="594"/>
      <c r="AK434" s="594"/>
      <c r="AL434" s="750"/>
      <c r="AM434" s="570"/>
      <c r="AO434" s="550"/>
      <c r="AP434" s="550"/>
    </row>
    <row r="435" spans="1:60" s="550" customFormat="1" ht="12.75" customHeight="1">
      <c r="A435" s="536"/>
      <c r="B435" s="14"/>
      <c r="C435" s="731"/>
      <c r="D435" s="14"/>
      <c r="E435" s="691"/>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4"/>
      <c r="AG435" s="594"/>
      <c r="AH435" s="594"/>
      <c r="AI435" s="594"/>
      <c r="AJ435" s="594"/>
      <c r="AK435" s="594"/>
      <c r="AL435" s="750"/>
      <c r="AM435" s="570"/>
      <c r="AN435" s="597"/>
    </row>
    <row r="436" spans="1:60" s="550" customFormat="1" ht="12.75" customHeight="1">
      <c r="A436" s="536"/>
      <c r="B436" s="14"/>
      <c r="C436" s="751"/>
      <c r="D436" s="730"/>
      <c r="E436" s="719"/>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4"/>
      <c r="AG437" s="594"/>
      <c r="AH437" s="594"/>
      <c r="AI437" s="594"/>
      <c r="AJ437" s="594"/>
      <c r="AK437" s="594"/>
      <c r="AL437" s="750"/>
      <c r="AM437" s="570"/>
      <c r="AN437" s="597"/>
    </row>
    <row r="438" spans="1:60" s="550" customFormat="1" ht="12.75" customHeight="1">
      <c r="A438" s="536"/>
      <c r="B438" s="14"/>
      <c r="C438" s="751"/>
      <c r="D438" s="730"/>
      <c r="E438" s="719"/>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4"/>
      <c r="AG438" s="594"/>
      <c r="AH438" s="594"/>
      <c r="AI438" s="594"/>
      <c r="AJ438" s="594"/>
      <c r="AK438" s="594"/>
      <c r="AL438" s="750"/>
      <c r="AM438" s="570"/>
      <c r="AN438" s="597"/>
    </row>
    <row r="439" spans="1:60" s="550" customFormat="1" ht="12.75" customHeight="1">
      <c r="A439" s="536"/>
      <c r="B439" s="14"/>
      <c r="C439" s="751"/>
      <c r="D439" s="730"/>
      <c r="E439" s="719"/>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4"/>
      <c r="AG439" s="594"/>
      <c r="AH439" s="594"/>
      <c r="AI439" s="594"/>
      <c r="AJ439" s="594"/>
      <c r="AK439" s="594"/>
      <c r="AL439" s="750"/>
      <c r="AM439" s="570"/>
      <c r="AN439" s="597"/>
    </row>
    <row r="440" spans="1:60" s="550" customFormat="1" ht="12.75" customHeight="1">
      <c r="A440" s="536"/>
      <c r="B440" s="14"/>
      <c r="C440" s="751"/>
      <c r="D440" s="730"/>
      <c r="E440" s="719"/>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4"/>
      <c r="AG440" s="594"/>
      <c r="AH440" s="594"/>
      <c r="AI440" s="594"/>
      <c r="AJ440" s="594"/>
      <c r="AK440" s="594"/>
      <c r="AL440" s="750"/>
      <c r="AM440" s="570"/>
      <c r="AN440" s="597"/>
    </row>
    <row r="441" spans="1:60" s="550" customFormat="1" ht="17.25" customHeight="1">
      <c r="A441" s="536"/>
      <c r="B441" s="14"/>
      <c r="C441" s="751"/>
      <c r="D441" s="730"/>
      <c r="E441" s="719"/>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2"/>
      <c r="AM441" s="570"/>
      <c r="AN441" s="597"/>
    </row>
    <row r="442" spans="1:60" s="550" customFormat="1" ht="12.75" customHeight="1">
      <c r="A442" s="536"/>
      <c r="B442" s="14"/>
      <c r="C442" s="2516" t="s">
        <v>591</v>
      </c>
      <c r="D442" s="247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1" t="s">
        <v>1462</v>
      </c>
      <c r="AG442" s="2441"/>
      <c r="AH442" s="2441"/>
      <c r="AI442" s="2441"/>
      <c r="AJ442" s="2441"/>
      <c r="AK442" s="2441"/>
      <c r="AL442" s="252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9" t="s">
        <v>1488</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4"/>
      <c r="AG445" s="714"/>
      <c r="AH445" s="714"/>
      <c r="AI445" s="714"/>
      <c r="AJ445" s="714"/>
      <c r="AK445" s="714"/>
      <c r="AL445" s="745"/>
      <c r="AM445" s="570"/>
      <c r="AN445" s="597"/>
    </row>
    <row r="446" spans="1:60" s="550" customFormat="1" ht="12.75" customHeight="1">
      <c r="A446" s="536"/>
      <c r="B446" s="14"/>
      <c r="C446" s="751"/>
      <c r="D446" s="730"/>
      <c r="E446" s="719"/>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1"/>
      <c r="AG446" s="591"/>
      <c r="AH446" s="591"/>
      <c r="AI446" s="591"/>
      <c r="AJ446" s="591"/>
      <c r="AK446" s="591"/>
      <c r="AL446" s="720"/>
      <c r="AM446" s="570"/>
      <c r="AN446" s="597"/>
    </row>
    <row r="447" spans="1:60" s="550" customFormat="1" ht="12.75" customHeight="1">
      <c r="A447" s="536"/>
      <c r="B447" s="14"/>
      <c r="C447" s="751"/>
      <c r="D447" s="730"/>
      <c r="E447" s="719"/>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1"/>
      <c r="AG447" s="591"/>
      <c r="AH447" s="591"/>
      <c r="AI447" s="591"/>
      <c r="AJ447" s="591"/>
      <c r="AK447" s="591"/>
      <c r="AL447" s="720"/>
      <c r="AM447" s="570"/>
      <c r="AN447" s="597"/>
    </row>
    <row r="448" spans="1:60" s="550" customFormat="1" ht="12.75" customHeight="1">
      <c r="A448" s="536"/>
      <c r="B448" s="14"/>
      <c r="C448" s="751"/>
      <c r="D448" s="730"/>
      <c r="E448" s="719"/>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2"/>
      <c r="AM448" s="570"/>
      <c r="AN448" s="597"/>
    </row>
    <row r="449" spans="1:40" s="550" customFormat="1" ht="12.75" customHeight="1">
      <c r="A449" s="536"/>
      <c r="B449" s="14"/>
      <c r="C449" s="2516" t="s">
        <v>591</v>
      </c>
      <c r="D449" s="247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1" t="s">
        <v>1462</v>
      </c>
      <c r="AG449" s="2441"/>
      <c r="AH449" s="2441"/>
      <c r="AI449" s="2441"/>
      <c r="AJ449" s="2441"/>
      <c r="AK449" s="2441"/>
      <c r="AL449" s="252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2" t="s">
        <v>591</v>
      </c>
      <c r="D453" s="2523"/>
      <c r="E453" s="715" t="s">
        <v>1497</v>
      </c>
      <c r="F453" s="2519" t="s">
        <v>1498</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1462</v>
      </c>
      <c r="AG453" s="2540"/>
      <c r="AH453" s="2540"/>
      <c r="AI453" s="2540"/>
      <c r="AJ453" s="2540"/>
      <c r="AK453" s="2540"/>
      <c r="AL453" s="2541"/>
      <c r="AM453" s="570"/>
      <c r="AN453" s="753"/>
    </row>
    <row r="454" spans="1:40" s="550" customFormat="1" ht="12.75" customHeight="1">
      <c r="A454" s="536"/>
      <c r="B454" s="14"/>
      <c r="C454" s="751"/>
      <c r="D454" s="730"/>
      <c r="E454" s="719"/>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1"/>
      <c r="AG454" s="591"/>
      <c r="AH454" s="591"/>
      <c r="AI454" s="591"/>
      <c r="AJ454" s="591"/>
      <c r="AK454" s="591"/>
      <c r="AL454" s="720"/>
      <c r="AM454" s="570"/>
      <c r="AN454" s="754"/>
    </row>
    <row r="455" spans="1:40" s="550" customFormat="1" ht="17.850000000000001" customHeight="1">
      <c r="A455" s="536"/>
      <c r="B455" s="14"/>
      <c r="C455" s="756"/>
      <c r="D455" s="723"/>
      <c r="E455" s="724"/>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6" t="s">
        <v>591</v>
      </c>
      <c r="D457" s="2473"/>
      <c r="E457" s="715" t="s">
        <v>1503</v>
      </c>
      <c r="F457" s="2519" t="s">
        <v>1504</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1462</v>
      </c>
      <c r="AG457" s="2540"/>
      <c r="AH457" s="2540"/>
      <c r="AI457" s="2540"/>
      <c r="AJ457" s="2540"/>
      <c r="AK457" s="2540"/>
      <c r="AL457" s="2541"/>
      <c r="AM457" s="570"/>
      <c r="AN457" s="535"/>
    </row>
    <row r="458" spans="1:40" s="550" customFormat="1" ht="12.75" customHeight="1">
      <c r="A458" s="536"/>
      <c r="B458" s="14"/>
      <c r="C458" s="731"/>
      <c r="D458" s="14"/>
      <c r="E458" s="691"/>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39"/>
      <c r="AG458" s="536"/>
      <c r="AL458" s="732"/>
      <c r="AM458" s="570"/>
      <c r="AN458" s="535"/>
    </row>
    <row r="459" spans="1:40" s="550" customFormat="1" ht="12.75" customHeight="1">
      <c r="A459" s="536"/>
      <c r="B459" s="14"/>
      <c r="C459" s="731"/>
      <c r="D459" s="14"/>
      <c r="E459" s="691"/>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39"/>
      <c r="AG459" s="536"/>
      <c r="AL459" s="732"/>
      <c r="AM459" s="570"/>
      <c r="AN459" s="535"/>
    </row>
    <row r="460" spans="1:40" s="550" customFormat="1" ht="12.75" customHeight="1">
      <c r="A460" s="536"/>
      <c r="B460" s="14"/>
      <c r="C460" s="756"/>
      <c r="D460" s="723"/>
      <c r="E460" s="724"/>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9" t="s">
        <v>1507</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4"/>
      <c r="AH462" s="714"/>
      <c r="AI462" s="714"/>
      <c r="AJ462" s="714"/>
      <c r="AK462" s="714"/>
      <c r="AL462" s="745"/>
      <c r="AM462" s="570"/>
      <c r="AN462" s="597"/>
    </row>
    <row r="463" spans="1:40" s="550" customFormat="1" ht="12.75" customHeight="1">
      <c r="A463" s="536"/>
      <c r="B463" s="14"/>
      <c r="C463" s="731"/>
      <c r="D463" s="14"/>
      <c r="E463" s="691"/>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2"/>
      <c r="AM463" s="570"/>
      <c r="AN463" s="597"/>
    </row>
    <row r="464" spans="1:40" s="550" customFormat="1" ht="12.75" customHeight="1">
      <c r="A464" s="536"/>
      <c r="B464" s="14"/>
      <c r="C464" s="739"/>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2"/>
      <c r="AM464" s="570"/>
      <c r="AN464" s="597"/>
    </row>
    <row r="465" spans="1:58" s="550" customFormat="1" ht="12.75" customHeight="1">
      <c r="A465" s="536"/>
      <c r="B465" s="14"/>
      <c r="C465" s="739"/>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2"/>
      <c r="AM465" s="570"/>
      <c r="AN465" s="597"/>
    </row>
    <row r="466" spans="1:58" s="550" customFormat="1" ht="12.75" customHeight="1">
      <c r="A466" s="536"/>
      <c r="B466" s="14"/>
      <c r="C466" s="2516" t="s">
        <v>591</v>
      </c>
      <c r="D466" s="247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7" t="s">
        <v>1462</v>
      </c>
      <c r="AG466" s="2517"/>
      <c r="AH466" s="2517"/>
      <c r="AI466" s="2517"/>
      <c r="AJ466" s="2517"/>
      <c r="AK466" s="2517"/>
      <c r="AL466" s="251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6">
        <f>IF(Application!D214="N/A",AS358,AS360)</f>
        <v>10</v>
      </c>
      <c r="AL469" s="2477"/>
      <c r="AM469" s="247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7" t="s">
        <v>1511</v>
      </c>
      <c r="AF472" s="2517"/>
      <c r="AG472" s="2517"/>
      <c r="AH472" s="2517"/>
      <c r="AI472" s="2517"/>
      <c r="AJ472" s="2517"/>
      <c r="AK472" s="2517"/>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2" t="s">
        <v>591</v>
      </c>
      <c r="D478" s="2543"/>
      <c r="E478" s="761" t="s">
        <v>507</v>
      </c>
      <c r="F478" s="2544" t="s">
        <v>1517</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8" t="s">
        <v>591</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9" t="s">
        <v>545</v>
      </c>
      <c r="D482" s="2620"/>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7" t="s">
        <v>591</v>
      </c>
      <c r="W485" s="2617"/>
      <c r="X485" s="261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7" t="s">
        <v>591</v>
      </c>
      <c r="W487" s="2617"/>
      <c r="X487" s="261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7" t="s">
        <v>591</v>
      </c>
      <c r="W492" s="2617"/>
      <c r="X492" s="261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7"/>
      <c r="E495" s="2607"/>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7" t="s">
        <v>591</v>
      </c>
      <c r="W496" s="2617"/>
      <c r="X496" s="261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7" t="s">
        <v>591</v>
      </c>
      <c r="W498" s="2617"/>
      <c r="X498" s="261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2" t="s">
        <v>591</v>
      </c>
      <c r="D501" s="2543"/>
      <c r="E501" s="761" t="s">
        <v>507</v>
      </c>
      <c r="F501" s="2544" t="s">
        <v>1517</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3" t="s">
        <v>591</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2" t="s">
        <v>591</v>
      </c>
      <c r="D505" s="2543"/>
      <c r="E505" s="761" t="s">
        <v>757</v>
      </c>
      <c r="F505" s="2614" t="s">
        <v>1539</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6" t="s">
        <v>591</v>
      </c>
      <c r="G508" s="2616"/>
      <c r="H508" s="261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2" t="s">
        <v>591</v>
      </c>
      <c r="D510" s="2543"/>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6"/>
      <c r="D512" s="2607"/>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8" t="s">
        <v>591</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6" t="s">
        <v>591</v>
      </c>
      <c r="D515" s="2547"/>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6" t="s">
        <v>591</v>
      </c>
      <c r="D519" s="2547"/>
      <c r="F519" s="795" t="s">
        <v>1547</v>
      </c>
      <c r="G519" s="2520" t="s">
        <v>1548</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8" t="s">
        <v>591</v>
      </c>
      <c r="D523" s="2549"/>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0" t="s">
        <v>591</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6">
        <f>SUM(AG479:AG524)</f>
        <v>0</v>
      </c>
      <c r="AL535" s="2477"/>
      <c r="AM535" s="247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6" t="s">
        <v>1560</v>
      </c>
      <c r="AF538" s="2406"/>
      <c r="AG538" s="2406"/>
      <c r="AH538" s="2406"/>
      <c r="AI538" s="2406"/>
      <c r="AJ538" s="2406"/>
      <c r="AK538" s="2406"/>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3" t="s">
        <v>545</v>
      </c>
      <c r="D541" s="2473"/>
      <c r="E541" s="551"/>
      <c r="F541" s="2600" t="s">
        <v>1561</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5"/>
      <c r="AN541" s="597"/>
    </row>
    <row r="542" spans="1:81" s="550" customFormat="1" ht="12.75" customHeight="1">
      <c r="A542" s="539"/>
      <c r="B542" s="539"/>
      <c r="C542" s="551"/>
      <c r="D542" s="551"/>
      <c r="E542" s="551"/>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3" t="s">
        <v>591</v>
      </c>
      <c r="D544" s="247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5" t="s">
        <v>1563</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5"/>
      <c r="AN545" s="597"/>
      <c r="AS545" s="870"/>
      <c r="AT545" s="870"/>
      <c r="AU545" s="870"/>
      <c r="AV545" s="870"/>
      <c r="AW545" s="870"/>
    </row>
    <row r="546" spans="1:49" s="550" customFormat="1" ht="12.75" customHeight="1">
      <c r="B546" s="806"/>
      <c r="C546" s="806"/>
      <c r="D546" s="806"/>
      <c r="E546" s="806"/>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5" t="s">
        <v>1564</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3"/>
      <c r="AM548" s="595"/>
      <c r="AN548" s="597"/>
    </row>
    <row r="549" spans="1:49" s="550" customFormat="1" ht="12.75" customHeight="1">
      <c r="B549" s="806"/>
      <c r="C549" s="806"/>
      <c r="D549" s="806"/>
      <c r="E549" s="806"/>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2">
        <f>Application!AJ992</f>
        <v>46103840</v>
      </c>
      <c r="AQ550" s="2622"/>
      <c r="AR550" s="2622"/>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9">
        <f>'Sources and Uses Budget'!S107+'Sources and Uses Budget'!T107</f>
        <v>73736040</v>
      </c>
      <c r="AG551" s="2479"/>
      <c r="AH551" s="2479"/>
      <c r="AI551" s="2479"/>
      <c r="AJ551" s="2479"/>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7">
        <f>IFERROR(AP559,0)</f>
        <v>104204570</v>
      </c>
      <c r="AG552" s="2627"/>
      <c r="AH552" s="2627"/>
      <c r="AI552" s="2627"/>
      <c r="AJ552" s="2627"/>
      <c r="AK552" s="595"/>
      <c r="AL552" s="595"/>
      <c r="AM552" s="595"/>
      <c r="AN552" s="597"/>
      <c r="AP552" s="2622">
        <f>Application!AJ1045</f>
        <v>22129843.199999999</v>
      </c>
      <c r="AQ552" s="2622"/>
      <c r="AR552" s="2622"/>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8">
        <f>IFERROR(ROUNDDOWN(IF(C544="YES",((1-(AF551/AF552))*2),(1-(AF551/AF552))),2),0)</f>
        <v>0.28999999999999998</v>
      </c>
      <c r="AG553" s="2628"/>
      <c r="AH553" s="2628"/>
      <c r="AI553" s="2628"/>
      <c r="AJ553" s="2628"/>
      <c r="AK553" s="595"/>
      <c r="AL553" s="595"/>
      <c r="AM553" s="595"/>
      <c r="AN553" s="597"/>
      <c r="AP553" s="2625">
        <f>Application!AJ1049</f>
        <v>47025916.800000004</v>
      </c>
      <c r="AQ553" s="2625"/>
      <c r="AR553" s="262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1">
        <f>IF(((AP552+AP553)/AP550)&gt;0.8,0.8,((AP552+AP553)/AP550))</f>
        <v>0.8</v>
      </c>
      <c r="AQ554" s="2621"/>
      <c r="AR554" s="2621"/>
      <c r="AS554" s="550" t="s">
        <v>2172</v>
      </c>
    </row>
    <row r="555" spans="1:49" s="550" customFormat="1" ht="12.75" customHeight="1">
      <c r="A555" s="624"/>
      <c r="B555" s="2558" t="s">
        <v>2032</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5"/>
      <c r="AL555" s="595"/>
      <c r="AM555" s="595"/>
      <c r="AN555" s="597"/>
    </row>
    <row r="556" spans="1:49" s="550" customFormat="1" ht="12.75" customHeight="1">
      <c r="A556" s="624"/>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5"/>
      <c r="AL556" s="595"/>
      <c r="AM556" s="595"/>
      <c r="AN556" s="597"/>
      <c r="AP556" s="2622">
        <f>AP557-AP552-AP553</f>
        <v>67321498</v>
      </c>
      <c r="AQ556" s="2531"/>
      <c r="AR556" s="2531"/>
      <c r="AS556" s="550" t="s">
        <v>2174</v>
      </c>
    </row>
    <row r="557" spans="1:49" s="550" customFormat="1" ht="12.75" customHeight="1">
      <c r="A557" s="624"/>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5"/>
      <c r="AL557" s="595"/>
      <c r="AM557" s="595"/>
      <c r="AN557" s="597"/>
      <c r="AP557" s="2622">
        <f>Application!AJ1053</f>
        <v>136477258</v>
      </c>
      <c r="AQ557" s="2622"/>
      <c r="AR557" s="2622"/>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7">
        <f>IFERROR(IF(AND(C541="N/A",C544="N/A"),0,IF(AF553=0,0,IF((AF553*100)&gt;12,12,(AF553*100)))),0)</f>
        <v>12</v>
      </c>
      <c r="AL559" s="2567"/>
      <c r="AM559" s="2568"/>
      <c r="AN559" s="597"/>
      <c r="AP559" s="2639">
        <f>AP556+(AP550*AP554)</f>
        <v>104204570</v>
      </c>
      <c r="AQ559" s="2640"/>
      <c r="AR559" s="264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6" t="s">
        <v>1314</v>
      </c>
      <c r="AF562" s="2406"/>
      <c r="AG562" s="2406"/>
      <c r="AH562" s="2406"/>
      <c r="AI562" s="2406"/>
      <c r="AJ562" s="2406"/>
      <c r="AK562" s="240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6" t="s">
        <v>2023</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2"/>
      <c r="AL564" s="573"/>
      <c r="AM564" s="603"/>
      <c r="AN564" s="597"/>
    </row>
    <row r="565" spans="1:42" s="550" customFormat="1" ht="12.75" customHeight="1">
      <c r="A565" s="603"/>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2"/>
      <c r="AL565" s="573"/>
      <c r="AM565" s="603"/>
      <c r="AN565" s="597"/>
    </row>
    <row r="566" spans="1:42" s="550" customFormat="1" ht="12.75" customHeight="1">
      <c r="A566" s="603"/>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2"/>
      <c r="AL566" s="573"/>
      <c r="AM566" s="603"/>
      <c r="AN566" s="597"/>
    </row>
    <row r="567" spans="1:42" s="550" customFormat="1" ht="12.75" customHeight="1">
      <c r="A567" s="603"/>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2"/>
      <c r="AL567" s="573"/>
      <c r="AM567" s="603"/>
      <c r="AN567" s="597"/>
    </row>
    <row r="568" spans="1:42" s="550" customFormat="1" ht="12.75" customHeight="1">
      <c r="A568" s="603"/>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2"/>
      <c r="AL568" s="573"/>
      <c r="AM568" s="603"/>
      <c r="AN568" s="597"/>
    </row>
    <row r="569" spans="1:42" s="550" customFormat="1" ht="12.75" customHeight="1">
      <c r="A569" s="603"/>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2"/>
      <c r="AL569" s="573"/>
      <c r="AM569" s="603"/>
      <c r="AN569" s="597"/>
    </row>
    <row r="570" spans="1:42" s="550" customFormat="1" ht="12.75" customHeight="1">
      <c r="A570" s="603"/>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2"/>
      <c r="AL570" s="573"/>
      <c r="AM570" s="603"/>
      <c r="AN570" s="597"/>
    </row>
    <row r="571" spans="1:42" ht="12.75" customHeight="1">
      <c r="A571" s="603"/>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2"/>
      <c r="AL571" s="573"/>
      <c r="AM571" s="603"/>
    </row>
    <row r="572" spans="1:42" s="550"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1" t="s">
        <v>1338</v>
      </c>
      <c r="AG578" s="2441"/>
      <c r="AH578" s="2441"/>
      <c r="AI578" s="2441"/>
      <c r="AJ578" s="2441"/>
      <c r="AK578" s="2441"/>
      <c r="AL578" s="2441"/>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1" t="s">
        <v>1396</v>
      </c>
      <c r="AG585" s="2441"/>
      <c r="AH585" s="2441"/>
      <c r="AI585" s="2441"/>
      <c r="AJ585" s="2441"/>
      <c r="AK585" s="2441"/>
      <c r="AL585" s="2441"/>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1" t="s">
        <v>1378</v>
      </c>
      <c r="AG591" s="2441"/>
      <c r="AH591" s="2441"/>
      <c r="AI591" s="2441"/>
      <c r="AJ591" s="2441"/>
      <c r="AK591" s="2441"/>
      <c r="AL591" s="2441"/>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1" t="s">
        <v>1399</v>
      </c>
      <c r="AG597" s="2441"/>
      <c r="AH597" s="2441"/>
      <c r="AI597" s="2441"/>
      <c r="AJ597" s="2441"/>
      <c r="AK597" s="2441"/>
      <c r="AL597" s="2441"/>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7" t="s">
        <v>1184</v>
      </c>
      <c r="P601" s="2527"/>
      <c r="Q601" s="2527"/>
      <c r="R601" s="2527"/>
      <c r="S601" s="2527"/>
      <c r="T601" s="2527"/>
      <c r="U601" s="2527"/>
      <c r="V601" s="2527"/>
      <c r="W601" s="2527"/>
      <c r="X601" s="2527"/>
      <c r="Y601" s="2527"/>
      <c r="Z601" s="2527"/>
      <c r="AA601" s="2527"/>
      <c r="AB601" s="252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1" t="s">
        <v>1352</v>
      </c>
      <c r="AG603" s="2441"/>
      <c r="AH603" s="2441"/>
      <c r="AI603" s="2441"/>
      <c r="AJ603" s="2441"/>
      <c r="AK603" s="2441"/>
      <c r="AL603" s="2441"/>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5" t="s">
        <v>687</v>
      </c>
      <c r="I606" s="2525"/>
      <c r="J606" s="936"/>
      <c r="K606" s="936"/>
      <c r="L606" s="936"/>
      <c r="N606" s="22"/>
      <c r="O606" s="22"/>
      <c r="P606" s="22"/>
      <c r="Q606" s="1151" t="s">
        <v>2177</v>
      </c>
      <c r="R606" s="2528"/>
      <c r="S606" s="2528"/>
      <c r="T606" s="2528"/>
      <c r="U606" s="2528"/>
      <c r="V606" s="2528"/>
      <c r="W606" s="2528"/>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9"/>
      <c r="Z608" s="2529"/>
      <c r="AA608" s="2529"/>
      <c r="AB608" s="2529"/>
      <c r="AC608" s="2529"/>
      <c r="AD608" s="2529"/>
      <c r="AE608" s="2529"/>
      <c r="AF608" s="2529"/>
      <c r="AG608" s="2529"/>
      <c r="AH608" s="2529"/>
      <c r="AI608" s="2529"/>
      <c r="AJ608" s="2529"/>
      <c r="AK608" s="2529"/>
      <c r="AL608" s="2529"/>
      <c r="AM608" s="2530"/>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6" t="s">
        <v>591</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9" t="s">
        <v>591</v>
      </c>
      <c r="C616" s="2469"/>
      <c r="D616" s="642"/>
      <c r="E616" s="2496" t="s">
        <v>1403</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2"/>
      <c r="AI616" s="642"/>
      <c r="AJ616" s="642"/>
      <c r="AK616" s="642"/>
      <c r="AL616" s="642"/>
      <c r="AN616" s="597"/>
    </row>
    <row r="617" spans="1:42" s="550" customFormat="1" ht="12.75" customHeight="1">
      <c r="B617" s="536"/>
      <c r="C617" s="933"/>
      <c r="D617" s="642"/>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2"/>
      <c r="AI617" s="642"/>
      <c r="AJ617" s="642"/>
      <c r="AK617" s="642"/>
      <c r="AL617" s="642"/>
      <c r="AN617" s="597"/>
    </row>
    <row r="618" spans="1:42" s="550" customFormat="1" ht="12.75" customHeight="1">
      <c r="B618" s="536"/>
      <c r="C618" s="933"/>
      <c r="D618" s="642"/>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2"/>
      <c r="AI618" s="642"/>
      <c r="AJ618" s="642"/>
      <c r="AK618" s="642"/>
      <c r="AL618" s="642"/>
      <c r="AN618" s="597"/>
    </row>
    <row r="619" spans="1:42" s="550" customFormat="1" ht="12.75" customHeight="1">
      <c r="B619" s="536"/>
      <c r="C619" s="933"/>
      <c r="D619" s="642"/>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6">
        <f>VLOOKUP($H$606,$AO$586:$AP$591,2,FALSE)+IF(R606=AO594,0,VLOOKUP($I$614,$AO$613:$AP$615,2,FALSE))</f>
        <v>7</v>
      </c>
      <c r="AK621" s="247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4" t="s">
        <v>1694</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39"/>
      <c r="AF625" s="2441" t="s">
        <v>1352</v>
      </c>
      <c r="AG625" s="2441"/>
      <c r="AH625" s="2441"/>
      <c r="AI625" s="2441"/>
      <c r="AJ625" s="2441"/>
      <c r="AK625" s="2441"/>
      <c r="AL625" s="2441"/>
      <c r="AM625" s="550"/>
      <c r="AN625" s="678"/>
    </row>
    <row r="626" spans="1:42" s="550" customFormat="1" ht="12.75" customHeight="1">
      <c r="A626" s="679"/>
      <c r="B626" s="536"/>
      <c r="C626" s="933"/>
      <c r="D626" s="663"/>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6"/>
      <c r="AF626" s="536"/>
      <c r="AG626" s="536"/>
      <c r="AH626" s="536"/>
      <c r="AI626" s="536"/>
      <c r="AJ626" s="536"/>
      <c r="AK626" s="536"/>
      <c r="AL626" s="536"/>
      <c r="AN626" s="597"/>
    </row>
    <row r="627" spans="1:42" s="550" customFormat="1" ht="12.75" customHeight="1">
      <c r="B627" s="536"/>
      <c r="C627" s="931"/>
      <c r="D627" s="663"/>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6"/>
      <c r="AF627" s="536"/>
      <c r="AG627" s="536"/>
      <c r="AH627" s="536"/>
      <c r="AI627" s="536"/>
      <c r="AJ627" s="536"/>
      <c r="AK627" s="536"/>
      <c r="AL627" s="536"/>
      <c r="AN627" s="597"/>
    </row>
    <row r="628" spans="1:42" s="550" customFormat="1" ht="12.75" customHeight="1">
      <c r="B628" s="536"/>
      <c r="C628" s="931"/>
      <c r="D628" s="663"/>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6"/>
      <c r="AF628" s="536"/>
      <c r="AG628" s="536"/>
      <c r="AH628" s="536"/>
      <c r="AI628" s="536"/>
      <c r="AJ628" s="536"/>
      <c r="AK628" s="536"/>
      <c r="AL628" s="536"/>
      <c r="AN628" s="597"/>
    </row>
    <row r="629" spans="1:42" s="550" customFormat="1" ht="12.75" customHeight="1">
      <c r="B629" s="536"/>
      <c r="C629" s="931"/>
      <c r="D629" s="663"/>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6"/>
      <c r="AF629" s="536"/>
      <c r="AG629" s="536"/>
      <c r="AH629" s="536"/>
      <c r="AI629" s="536"/>
      <c r="AJ629" s="536"/>
      <c r="AK629" s="536"/>
      <c r="AL629" s="536"/>
      <c r="AN629" s="597"/>
    </row>
    <row r="630" spans="1:42" s="550" customFormat="1" ht="12.75" customHeight="1">
      <c r="B630" s="536"/>
      <c r="C630" s="931"/>
      <c r="D630" s="663"/>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6"/>
      <c r="AF630" s="536"/>
      <c r="AG630" s="536"/>
      <c r="AH630" s="536"/>
      <c r="AI630" s="536"/>
      <c r="AJ630" s="536"/>
      <c r="AK630" s="536"/>
      <c r="AL630" s="536"/>
      <c r="AN630" s="597"/>
    </row>
    <row r="631" spans="1:42" s="550" customFormat="1" ht="12.75" customHeight="1">
      <c r="A631" s="637"/>
      <c r="B631" s="616"/>
      <c r="C631" s="940"/>
      <c r="D631" s="663"/>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6"/>
      <c r="AF631" s="616"/>
      <c r="AG631" s="616"/>
      <c r="AH631" s="616"/>
      <c r="AI631" s="616"/>
      <c r="AJ631" s="616"/>
      <c r="AK631" s="536"/>
      <c r="AL631" s="536"/>
      <c r="AN631" s="597"/>
    </row>
    <row r="632" spans="1:42" s="550" customFormat="1" ht="12.75" customHeight="1">
      <c r="B632" s="616"/>
      <c r="C632" s="940"/>
      <c r="D632" s="663"/>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9" t="s">
        <v>591</v>
      </c>
      <c r="Y634" s="2469"/>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1" t="s">
        <v>1408</v>
      </c>
      <c r="AG636" s="2441"/>
      <c r="AH636" s="2441"/>
      <c r="AI636" s="2441"/>
      <c r="AJ636" s="2441"/>
      <c r="AK636" s="2441"/>
      <c r="AL636" s="2441"/>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5" t="s">
        <v>687</v>
      </c>
      <c r="I638" s="252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6">
        <f>VLOOKUP($H$638,$AO$605:$AP$607,2,FALSE)</f>
        <v>3</v>
      </c>
      <c r="AK640" s="247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6" t="s">
        <v>2098</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6"/>
      <c r="AF644" s="2441" t="s">
        <v>1352</v>
      </c>
      <c r="AG644" s="2441"/>
      <c r="AH644" s="2441"/>
      <c r="AI644" s="2441"/>
      <c r="AJ644" s="2441"/>
      <c r="AK644" s="2441"/>
      <c r="AL644" s="2441"/>
      <c r="AN644" s="597"/>
    </row>
    <row r="645" spans="1:42" s="550" customFormat="1" ht="12.75" customHeight="1">
      <c r="B645" s="536"/>
      <c r="C645" s="536"/>
      <c r="D645" s="663"/>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1" t="s">
        <v>1408</v>
      </c>
      <c r="AG647" s="2441"/>
      <c r="AH647" s="2441"/>
      <c r="AI647" s="2441"/>
      <c r="AJ647" s="2441"/>
      <c r="AK647" s="2441"/>
      <c r="AL647" s="2441"/>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5" t="s">
        <v>509</v>
      </c>
      <c r="I650" s="252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6">
        <f>VLOOKUP(H650,AT605:AU607,2,FALSE)</f>
        <v>2</v>
      </c>
      <c r="AK652" s="247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6" t="s">
        <v>1418</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6"/>
      <c r="AE657" s="536"/>
      <c r="AF657" s="2441" t="s">
        <v>1378</v>
      </c>
      <c r="AG657" s="2441"/>
      <c r="AH657" s="2441"/>
      <c r="AI657" s="2441"/>
      <c r="AJ657" s="2441"/>
      <c r="AK657" s="2441"/>
      <c r="AL657" s="2441"/>
      <c r="AN657" s="597"/>
    </row>
    <row r="658" spans="1:42" s="550" customFormat="1" ht="12.75" customHeight="1">
      <c r="B658" s="536"/>
      <c r="C658" s="539"/>
      <c r="D658" s="536"/>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6"/>
      <c r="AE658" s="536"/>
      <c r="AF658" s="536"/>
      <c r="AG658" s="536"/>
      <c r="AH658" s="536"/>
      <c r="AI658" s="536"/>
      <c r="AJ658" s="536"/>
      <c r="AK658" s="536"/>
      <c r="AL658" s="536"/>
      <c r="AN658" s="597"/>
    </row>
    <row r="659" spans="1:42" s="550" customFormat="1" ht="12.75" customHeight="1">
      <c r="B659" s="536"/>
      <c r="C659" s="539"/>
      <c r="D659" s="663"/>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6" t="s">
        <v>1419</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6"/>
      <c r="AE661" s="536"/>
      <c r="AF661" s="2441" t="s">
        <v>1399</v>
      </c>
      <c r="AG661" s="2441"/>
      <c r="AH661" s="2441"/>
      <c r="AI661" s="2441"/>
      <c r="AJ661" s="2441"/>
      <c r="AK661" s="2441"/>
      <c r="AL661" s="2441"/>
      <c r="AN661" s="597"/>
    </row>
    <row r="662" spans="1:42" s="550" customFormat="1" ht="12.75" customHeight="1">
      <c r="B662" s="536"/>
      <c r="C662" s="539"/>
      <c r="D662" s="536"/>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6"/>
      <c r="AE662" s="536"/>
      <c r="AF662" s="536"/>
      <c r="AG662" s="536"/>
      <c r="AH662" s="536"/>
      <c r="AI662" s="536"/>
      <c r="AJ662" s="536"/>
      <c r="AK662" s="536"/>
      <c r="AL662" s="536"/>
      <c r="AN662" s="597"/>
    </row>
    <row r="663" spans="1:42" s="550" customFormat="1" ht="15" customHeight="1">
      <c r="B663" s="536"/>
      <c r="C663" s="539"/>
      <c r="D663" s="663"/>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6" t="s">
        <v>1420</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6"/>
      <c r="AE665" s="536"/>
      <c r="AF665" s="2441" t="s">
        <v>1352</v>
      </c>
      <c r="AG665" s="2441"/>
      <c r="AH665" s="2441"/>
      <c r="AI665" s="2441"/>
      <c r="AJ665" s="2441"/>
      <c r="AK665" s="2441"/>
      <c r="AL665" s="2441"/>
      <c r="AN665" s="597"/>
    </row>
    <row r="666" spans="1:42" s="550" customFormat="1" ht="12.75" customHeight="1">
      <c r="B666" s="536"/>
      <c r="C666" s="931"/>
      <c r="D666" s="536"/>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6"/>
      <c r="AE666" s="2441"/>
      <c r="AF666" s="2441"/>
      <c r="AG666" s="2441"/>
      <c r="AH666" s="2441"/>
      <c r="AI666" s="2441"/>
      <c r="AJ666" s="2441"/>
      <c r="AK666" s="2441"/>
      <c r="AL666" s="594"/>
      <c r="AN666" s="597"/>
      <c r="AO666" s="550" t="s">
        <v>591</v>
      </c>
      <c r="AP666" s="673">
        <v>0</v>
      </c>
    </row>
    <row r="667" spans="1:42" s="550" customFormat="1" ht="12.75" customHeight="1">
      <c r="A667" s="679"/>
      <c r="B667" s="536"/>
      <c r="C667" s="536"/>
      <c r="D667" s="663"/>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6" t="s">
        <v>1421</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6"/>
      <c r="AE669" s="536"/>
      <c r="AF669" s="2441" t="s">
        <v>1399</v>
      </c>
      <c r="AG669" s="2441"/>
      <c r="AH669" s="2441"/>
      <c r="AI669" s="2441"/>
      <c r="AJ669" s="2441"/>
      <c r="AK669" s="2441"/>
      <c r="AL669" s="2441"/>
      <c r="AN669" s="597"/>
    </row>
    <row r="670" spans="1:42" s="550" customFormat="1" ht="12.75" customHeight="1">
      <c r="A670" s="670"/>
      <c r="B670" s="536"/>
      <c r="C670" s="947"/>
      <c r="D670" s="663"/>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6" t="s">
        <v>1422</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6"/>
      <c r="AE673" s="536"/>
      <c r="AF673" s="2441" t="s">
        <v>1352</v>
      </c>
      <c r="AG673" s="2441"/>
      <c r="AH673" s="2441"/>
      <c r="AI673" s="2441"/>
      <c r="AJ673" s="2441"/>
      <c r="AK673" s="2441"/>
      <c r="AL673" s="2441"/>
      <c r="AM673" s="596"/>
      <c r="AN673" s="597"/>
    </row>
    <row r="674" spans="1:42" s="550" customFormat="1" ht="12.75" customHeight="1">
      <c r="B674" s="536"/>
      <c r="C674" s="931"/>
      <c r="D674" s="663"/>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6"/>
      <c r="AE674" s="536"/>
      <c r="AF674" s="536"/>
      <c r="AG674" s="536"/>
      <c r="AH674" s="536"/>
      <c r="AI674" s="536"/>
      <c r="AJ674" s="536"/>
      <c r="AK674" s="536"/>
      <c r="AL674" s="536"/>
      <c r="AM674" s="596"/>
      <c r="AN674" s="597"/>
    </row>
    <row r="675" spans="1:42" s="550" customFormat="1" ht="12.75" customHeight="1">
      <c r="B675" s="536"/>
      <c r="C675" s="931"/>
      <c r="D675" s="663"/>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6" t="s">
        <v>1423</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6"/>
      <c r="AE677" s="536"/>
      <c r="AF677" s="2441" t="s">
        <v>1408</v>
      </c>
      <c r="AG677" s="2441"/>
      <c r="AH677" s="2441"/>
      <c r="AI677" s="2441"/>
      <c r="AJ677" s="2441"/>
      <c r="AK677" s="2441"/>
      <c r="AL677" s="2441"/>
      <c r="AM677" s="596"/>
      <c r="AN677" s="597"/>
    </row>
    <row r="678" spans="1:42" s="550" customFormat="1" ht="12.75" customHeight="1">
      <c r="A678" s="679"/>
      <c r="B678" s="536"/>
      <c r="C678" s="931"/>
      <c r="D678" s="663"/>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6" t="s">
        <v>1424</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6"/>
      <c r="AE681" s="536"/>
      <c r="AF681" s="2441" t="s">
        <v>1425</v>
      </c>
      <c r="AG681" s="2441"/>
      <c r="AH681" s="2441"/>
      <c r="AI681" s="2441"/>
      <c r="AJ681" s="2441"/>
      <c r="AK681" s="2441"/>
      <c r="AL681" s="2441"/>
      <c r="AM681" s="596"/>
      <c r="AN681" s="597"/>
      <c r="AO681" s="611" t="s">
        <v>687</v>
      </c>
      <c r="AP681" s="550">
        <v>3</v>
      </c>
    </row>
    <row r="682" spans="1:42" s="550" customFormat="1" ht="12.75" customHeight="1">
      <c r="A682" s="679"/>
      <c r="B682" s="536"/>
      <c r="C682" s="931"/>
      <c r="D682" s="663"/>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5" t="s">
        <v>509</v>
      </c>
      <c r="I685" s="252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6">
        <f>VLOOKUP($H$685,$AO$633:$AP$640,2,FALSE)</f>
        <v>4</v>
      </c>
      <c r="AK687" s="247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96</v>
      </c>
    </row>
    <row r="691" spans="1:51" s="550" customFormat="1" ht="12.75" customHeight="1">
      <c r="A691" s="679"/>
      <c r="B691" s="536"/>
      <c r="C691" s="948"/>
      <c r="D691" s="663" t="s">
        <v>687</v>
      </c>
      <c r="E691" s="2532" t="s">
        <v>2190</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6"/>
      <c r="AD691" s="536"/>
      <c r="AE691" s="536"/>
      <c r="AF691" s="2441" t="s">
        <v>1352</v>
      </c>
      <c r="AG691" s="2441"/>
      <c r="AH691" s="2441"/>
      <c r="AI691" s="2441"/>
      <c r="AJ691" s="2441"/>
      <c r="AK691" s="2441"/>
      <c r="AL691" s="2441"/>
      <c r="AN691" s="597"/>
      <c r="AW691" s="22" t="s">
        <v>2185</v>
      </c>
      <c r="AX691" s="550">
        <f>Application!DE753</f>
        <v>0</v>
      </c>
    </row>
    <row r="692" spans="1:51" s="550" customFormat="1" ht="12.75" customHeight="1">
      <c r="A692" s="679"/>
      <c r="B692" s="536"/>
      <c r="C692" s="948"/>
      <c r="D692" s="663"/>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6" t="s">
        <v>2134</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6"/>
      <c r="AD694" s="536"/>
      <c r="AE694" s="536"/>
      <c r="AF694" s="2441" t="s">
        <v>1352</v>
      </c>
      <c r="AG694" s="2441"/>
      <c r="AH694" s="2441"/>
      <c r="AI694" s="2441"/>
      <c r="AJ694" s="2441"/>
      <c r="AK694" s="2441"/>
      <c r="AL694" s="2441"/>
      <c r="AN694" s="597"/>
      <c r="AW694" s="22" t="s">
        <v>2188</v>
      </c>
      <c r="AX694" s="550">
        <f>AX691+AX692+AX693</f>
        <v>0</v>
      </c>
    </row>
    <row r="695" spans="1:51" s="550" customFormat="1" ht="12.75" customHeight="1">
      <c r="B695" s="536"/>
      <c r="C695" s="940"/>
      <c r="D695" s="663"/>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6"/>
      <c r="AD695" s="536"/>
      <c r="AE695" s="616"/>
      <c r="AF695" s="536"/>
      <c r="AG695" s="536"/>
      <c r="AH695" s="536"/>
      <c r="AI695" s="536"/>
      <c r="AJ695" s="536"/>
      <c r="AK695" s="536"/>
      <c r="AL695" s="536"/>
      <c r="AN695" s="597"/>
      <c r="AO695" s="2531" t="b">
        <f>IF(Application!D211="Special Needs",IF(AY695&gt;=0.25,TRUE,FALSE),IF(AX695&gt;=0.25,TRUE,FALSE))</f>
        <v>0</v>
      </c>
      <c r="AP695" s="2531"/>
      <c r="AW695" s="22" t="s">
        <v>2189</v>
      </c>
      <c r="AX695" s="550">
        <f>IFERROR(AX694/AX690,0)</f>
        <v>0</v>
      </c>
      <c r="AY695" s="550">
        <f>IFERROR(AX694/(AX690-AX689),0)</f>
        <v>0</v>
      </c>
    </row>
    <row r="696" spans="1:51" s="550" customFormat="1" ht="12.75" customHeight="1">
      <c r="B696" s="536"/>
      <c r="C696" s="940"/>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6" t="s">
        <v>2135</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6"/>
      <c r="AD699" s="536"/>
      <c r="AE699" s="536"/>
      <c r="AF699" s="2441" t="s">
        <v>1408</v>
      </c>
      <c r="AG699" s="2441"/>
      <c r="AH699" s="2441"/>
      <c r="AI699" s="2441"/>
      <c r="AJ699" s="2441"/>
      <c r="AK699" s="2441"/>
      <c r="AL699" s="2441"/>
      <c r="AN699" s="597"/>
      <c r="AO699" s="611" t="s">
        <v>509</v>
      </c>
      <c r="AP699" s="550">
        <v>1</v>
      </c>
    </row>
    <row r="700" spans="1:51" s="550" customFormat="1" ht="12" customHeight="1">
      <c r="B700" s="536"/>
      <c r="C700" s="931"/>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6"/>
      <c r="AD700" s="536"/>
      <c r="AE700" s="616"/>
      <c r="AF700" s="536"/>
      <c r="AG700" s="536"/>
      <c r="AH700" s="536"/>
      <c r="AI700" s="536"/>
      <c r="AJ700" s="536"/>
      <c r="AK700" s="536"/>
      <c r="AL700" s="536"/>
      <c r="AN700" s="597"/>
    </row>
    <row r="701" spans="1:51" s="550" customFormat="1" ht="12" customHeight="1">
      <c r="B701" s="536"/>
      <c r="C701" s="931"/>
      <c r="D701" s="536"/>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6"/>
      <c r="AD701" s="536"/>
      <c r="AE701" s="616"/>
      <c r="AF701" s="536"/>
      <c r="AG701" s="536"/>
      <c r="AH701" s="536"/>
      <c r="AI701" s="536"/>
      <c r="AJ701" s="536"/>
      <c r="AK701" s="536"/>
      <c r="AL701" s="536"/>
      <c r="AN701" s="597"/>
    </row>
    <row r="702" spans="1:51" s="550" customFormat="1" ht="12" customHeight="1">
      <c r="B702" s="536"/>
      <c r="C702" s="931"/>
      <c r="D702" s="536"/>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6" t="s">
        <v>1693</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5" t="s">
        <v>687</v>
      </c>
      <c r="I709" s="252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6">
        <f>VLOOKUP($H$709,$AO$703:$AP$706,2,FALSE)</f>
        <v>3</v>
      </c>
      <c r="AK711" s="247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3" t="s">
        <v>1695</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441" t="s">
        <v>1352</v>
      </c>
      <c r="AG715" s="2441"/>
      <c r="AH715" s="2441"/>
      <c r="AI715" s="2441"/>
      <c r="AJ715" s="2441"/>
      <c r="AK715" s="2441"/>
      <c r="AL715" s="2441"/>
      <c r="AM715" s="550"/>
      <c r="AN715" s="684"/>
      <c r="AP715" s="570" t="s">
        <v>1432</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509</v>
      </c>
      <c r="E719" s="2534" t="s">
        <v>1435</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441" t="s">
        <v>1408</v>
      </c>
      <c r="AG719" s="2441"/>
      <c r="AH719" s="2441"/>
      <c r="AI719" s="2441"/>
      <c r="AJ719" s="2441"/>
      <c r="AK719" s="2441"/>
      <c r="AL719" s="244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1400</v>
      </c>
      <c r="E723" s="936"/>
      <c r="F723" s="936"/>
      <c r="G723" s="936"/>
      <c r="H723" s="2525" t="s">
        <v>687</v>
      </c>
      <c r="I723" s="252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6">
        <f>VLOOKUP($H$723,$AP$720:$AQ$722,2,FALSE)</f>
        <v>3</v>
      </c>
      <c r="AK725" s="2478"/>
      <c r="AL725" s="595"/>
      <c r="AM725" s="550"/>
      <c r="AN725" s="684"/>
      <c r="AP725" s="2476"/>
      <c r="AQ725" s="247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6" t="s">
        <v>1696</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6"/>
      <c r="AD729" s="536"/>
      <c r="AE729" s="536"/>
      <c r="AF729" s="2441" t="s">
        <v>1352</v>
      </c>
      <c r="AG729" s="2441"/>
      <c r="AH729" s="2441"/>
      <c r="AI729" s="2441"/>
      <c r="AJ729" s="2441"/>
      <c r="AK729" s="2441"/>
      <c r="AL729" s="2441"/>
      <c r="AM729" s="550"/>
      <c r="AN729" s="684"/>
      <c r="AT729" s="14"/>
      <c r="AU729" s="14"/>
      <c r="AV729" s="14"/>
      <c r="AW729" s="14"/>
      <c r="AX729" s="14"/>
      <c r="AY729" s="14"/>
      <c r="AZ729" s="14"/>
    </row>
    <row r="730" spans="1:81" s="570" customFormat="1">
      <c r="A730" s="550"/>
      <c r="B730" s="536"/>
      <c r="C730" s="933"/>
      <c r="D730" s="663"/>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6" t="s">
        <v>1439</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6"/>
      <c r="AD732" s="536"/>
      <c r="AE732" s="536"/>
      <c r="AF732" s="2441" t="s">
        <v>1408</v>
      </c>
      <c r="AG732" s="2441"/>
      <c r="AH732" s="2441"/>
      <c r="AI732" s="2441"/>
      <c r="AJ732" s="2441"/>
      <c r="AK732" s="2441"/>
      <c r="AL732" s="2441"/>
      <c r="AM732" s="550"/>
      <c r="AN732" s="684"/>
      <c r="AT732" s="14"/>
      <c r="AU732" s="14"/>
      <c r="AV732" s="14"/>
      <c r="AW732" s="14"/>
      <c r="AX732" s="14"/>
      <c r="AY732" s="14"/>
      <c r="AZ732" s="14"/>
    </row>
    <row r="733" spans="1:81" s="570" customFormat="1">
      <c r="A733" s="550"/>
      <c r="B733" s="536"/>
      <c r="C733" s="933"/>
      <c r="D733" s="536"/>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5" t="s">
        <v>591</v>
      </c>
      <c r="I735" s="252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6">
        <f>VLOOKUP($H$735,$AO$666:$AP$668,2,FALSE)</f>
        <v>0</v>
      </c>
      <c r="AK737" s="247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6" t="s">
        <v>1442</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6"/>
      <c r="AD741" s="536"/>
      <c r="AE741" s="536"/>
      <c r="AF741" s="2441" t="s">
        <v>1352</v>
      </c>
      <c r="AG741" s="2441"/>
      <c r="AH741" s="2441"/>
      <c r="AI741" s="2441"/>
      <c r="AJ741" s="2441"/>
      <c r="AK741" s="2441"/>
      <c r="AL741" s="2441"/>
      <c r="AM741" s="550"/>
      <c r="AN741" s="684"/>
      <c r="AT741" s="14"/>
      <c r="AU741" s="14"/>
      <c r="AV741" s="14"/>
      <c r="AW741" s="14"/>
      <c r="AX741" s="14"/>
      <c r="AY741" s="14"/>
      <c r="AZ741" s="14"/>
    </row>
    <row r="742" spans="1:81" s="570" customFormat="1">
      <c r="A742" s="550"/>
      <c r="B742" s="536"/>
      <c r="C742" s="931"/>
      <c r="D742" s="663"/>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6" t="s">
        <v>1443</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5"/>
      <c r="AC746" s="536"/>
      <c r="AD746" s="536"/>
      <c r="AE746" s="536"/>
      <c r="AF746" s="2441" t="s">
        <v>1408</v>
      </c>
      <c r="AG746" s="2441"/>
      <c r="AH746" s="2441"/>
      <c r="AI746" s="2441"/>
      <c r="AJ746" s="2441"/>
      <c r="AK746" s="2441"/>
      <c r="AL746" s="2441"/>
      <c r="AM746" s="550"/>
      <c r="AN746" s="684"/>
      <c r="AO746" s="30"/>
      <c r="AP746" s="14"/>
    </row>
    <row r="747" spans="1:81" s="570" customFormat="1">
      <c r="A747" s="550"/>
      <c r="B747" s="536"/>
      <c r="C747" s="931"/>
      <c r="D747" s="663"/>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5" t="s">
        <v>687</v>
      </c>
      <c r="I751" s="252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6">
        <f>VLOOKUP($H$751,$AO$680:$AP$682,2,FALSE)</f>
        <v>3</v>
      </c>
      <c r="AK753" s="247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6" t="s">
        <v>1445</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6"/>
      <c r="AD757" s="536"/>
      <c r="AE757" s="536"/>
      <c r="AF757" s="2441" t="s">
        <v>1408</v>
      </c>
      <c r="AG757" s="2441"/>
      <c r="AH757" s="2441"/>
      <c r="AI757" s="2441"/>
      <c r="AJ757" s="2441"/>
      <c r="AK757" s="2441"/>
      <c r="AL757" s="244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6" t="s">
        <v>1446</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6"/>
      <c r="AD760" s="536"/>
      <c r="AE760" s="536"/>
      <c r="AF760" s="2441" t="s">
        <v>1425</v>
      </c>
      <c r="AG760" s="2441"/>
      <c r="AH760" s="2441"/>
      <c r="AI760" s="2441"/>
      <c r="AJ760" s="2441"/>
      <c r="AK760" s="2441"/>
      <c r="AL760" s="244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5" t="s">
        <v>687</v>
      </c>
      <c r="I763" s="252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6">
        <f>VLOOKUP($H$763,$AO$697:$AP$699,2,FALSE)</f>
        <v>2</v>
      </c>
      <c r="AK765" s="247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6" t="s">
        <v>1692</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6"/>
      <c r="AF769" s="2441" t="s">
        <v>1408</v>
      </c>
      <c r="AG769" s="2441"/>
      <c r="AH769" s="2441"/>
      <c r="AI769" s="2441"/>
      <c r="AJ769" s="2441"/>
      <c r="AK769" s="2441"/>
      <c r="AL769" s="2441"/>
      <c r="AM769" s="613"/>
      <c r="AN769" s="684"/>
      <c r="AO769" s="550" t="s">
        <v>591</v>
      </c>
      <c r="AP769" s="673">
        <v>0</v>
      </c>
    </row>
    <row r="770" spans="1:81" s="570" customFormat="1" ht="13.7" customHeight="1">
      <c r="A770" s="550"/>
      <c r="B770" s="616"/>
      <c r="C770" s="940"/>
      <c r="D770" s="663"/>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441" t="s">
        <v>1352</v>
      </c>
      <c r="AG774" s="2441"/>
      <c r="AH774" s="2441"/>
      <c r="AI774" s="2441"/>
      <c r="AJ774" s="2441"/>
      <c r="AK774" s="2441"/>
      <c r="AL774" s="2441"/>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5" t="s">
        <v>591</v>
      </c>
      <c r="I779" s="252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6">
        <f>VLOOKUP($H$779,$AO$769:$AP$771,2,FALSE)</f>
        <v>0</v>
      </c>
      <c r="AK781" s="247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6" t="s">
        <v>2033</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6"/>
      <c r="AF785" s="2441" t="s">
        <v>1352</v>
      </c>
      <c r="AG785" s="2441"/>
      <c r="AH785" s="2441"/>
      <c r="AI785" s="2441"/>
      <c r="AJ785" s="2441"/>
      <c r="AK785" s="2441"/>
      <c r="AL785" s="2441"/>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5" t="s">
        <v>591</v>
      </c>
      <c r="I790" s="252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6">
        <f>VLOOKUP($H$790,$AO$784:$AP$785,2,FALSE)</f>
        <v>0</v>
      </c>
      <c r="AK792" s="247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6">
        <f>IF(($AJ$621+$AJ$640+$AJ$652+$AJ$687+$AJ$711+$AJ$725+$AJ$737+$AJ$753+$AJ$765+$AJ$781+AJ792)&gt;10,10,($AJ$621+$AJ$640+$AJ$652+$AJ$687+$AJ$711+$AJ$725+$AJ$737+$AJ$753+$AJ$765+$AJ$781+AJ792))</f>
        <v>10</v>
      </c>
      <c r="AL794" s="2477"/>
      <c r="AM794" s="247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9" t="s">
        <v>1568</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6"/>
      <c r="AQ800" s="816"/>
    </row>
    <row r="801" spans="1:81">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2" t="s">
        <v>1569</v>
      </c>
      <c r="U802" s="2573"/>
      <c r="V802" s="2573"/>
      <c r="W802" s="2573"/>
      <c r="X802" s="2573"/>
      <c r="Y802" s="2574"/>
      <c r="Z802" s="2572" t="s">
        <v>1570</v>
      </c>
      <c r="AA802" s="2573"/>
      <c r="AB802" s="2573"/>
      <c r="AC802" s="2573"/>
      <c r="AD802" s="2573"/>
      <c r="AE802" s="2574"/>
      <c r="AF802" s="2572" t="s">
        <v>1571</v>
      </c>
      <c r="AG802" s="2573"/>
      <c r="AH802" s="2573"/>
      <c r="AI802" s="2573"/>
      <c r="AJ802" s="2573"/>
      <c r="AK802" s="257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5"/>
      <c r="U803" s="2576"/>
      <c r="V803" s="2576"/>
      <c r="W803" s="2576"/>
      <c r="X803" s="2576"/>
      <c r="Y803" s="2577"/>
      <c r="Z803" s="2575"/>
      <c r="AA803" s="2576"/>
      <c r="AB803" s="2576"/>
      <c r="AC803" s="2576"/>
      <c r="AD803" s="2576"/>
      <c r="AE803" s="2577"/>
      <c r="AF803" s="2575"/>
      <c r="AG803" s="2576"/>
      <c r="AH803" s="2576"/>
      <c r="AI803" s="2576"/>
      <c r="AJ803" s="2576"/>
      <c r="AK803" s="2577"/>
      <c r="AL803" s="818"/>
      <c r="AM803" s="596"/>
      <c r="AO803" s="816"/>
      <c r="AP803" s="816"/>
      <c r="AQ803" s="816"/>
    </row>
    <row r="804" spans="1:81">
      <c r="A804" s="819" t="s">
        <v>757</v>
      </c>
      <c r="B804" s="2552" t="s">
        <v>1304</v>
      </c>
      <c r="C804" s="2552"/>
      <c r="D804" s="2552"/>
      <c r="E804" s="2552"/>
      <c r="F804" s="2552"/>
      <c r="G804" s="2552"/>
      <c r="H804" s="2552"/>
      <c r="I804" s="2552"/>
      <c r="J804" s="2552"/>
      <c r="K804" s="2552"/>
      <c r="L804" s="2552"/>
      <c r="M804" s="2552"/>
      <c r="N804" s="2552"/>
      <c r="O804" s="2552"/>
      <c r="P804" s="2552"/>
      <c r="Q804" s="2552"/>
      <c r="R804" s="2552"/>
      <c r="S804" s="2553"/>
      <c r="T804" s="2554">
        <f>AK62</f>
        <v>0</v>
      </c>
      <c r="U804" s="2555"/>
      <c r="V804" s="2555"/>
      <c r="W804" s="2555"/>
      <c r="X804" s="2555"/>
      <c r="Y804" s="2556"/>
      <c r="Z804" s="2557">
        <v>20</v>
      </c>
      <c r="AA804" s="2555"/>
      <c r="AB804" s="2555"/>
      <c r="AC804" s="2555"/>
      <c r="AD804" s="2555"/>
      <c r="AE804" s="2556"/>
      <c r="AF804" s="2538">
        <f>IF(T804&gt;Z804,Z804,T804)</f>
        <v>0</v>
      </c>
      <c r="AG804" s="2538"/>
      <c r="AH804" s="2538"/>
      <c r="AI804" s="2538"/>
      <c r="AJ804" s="2538"/>
      <c r="AK804" s="2538"/>
      <c r="AL804" s="818"/>
      <c r="AM804" s="596"/>
      <c r="AO804" s="816"/>
      <c r="AP804" s="816"/>
      <c r="AQ804" s="816"/>
    </row>
    <row r="805" spans="1:81">
      <c r="A805" s="819" t="s">
        <v>1541</v>
      </c>
      <c r="B805" s="2552" t="s">
        <v>1313</v>
      </c>
      <c r="C805" s="2552"/>
      <c r="D805" s="2552"/>
      <c r="E805" s="2552"/>
      <c r="F805" s="2552"/>
      <c r="G805" s="2552"/>
      <c r="H805" s="2552"/>
      <c r="I805" s="2552"/>
      <c r="J805" s="2552"/>
      <c r="K805" s="2552"/>
      <c r="L805" s="2552"/>
      <c r="M805" s="2552"/>
      <c r="N805" s="2552"/>
      <c r="O805" s="2552"/>
      <c r="P805" s="2552"/>
      <c r="Q805" s="2552"/>
      <c r="R805" s="2552"/>
      <c r="S805" s="2553"/>
      <c r="T805" s="2554">
        <f>AK84</f>
        <v>10</v>
      </c>
      <c r="U805" s="2555"/>
      <c r="V805" s="2555"/>
      <c r="W805" s="2555"/>
      <c r="X805" s="2555"/>
      <c r="Y805" s="2556"/>
      <c r="Z805" s="2557">
        <v>10</v>
      </c>
      <c r="AA805" s="2555"/>
      <c r="AB805" s="2555"/>
      <c r="AC805" s="2555"/>
      <c r="AD805" s="2555"/>
      <c r="AE805" s="2556"/>
      <c r="AF805" s="2538">
        <f>IF(T805&gt;Z805,Z805,T805)</f>
        <v>10</v>
      </c>
      <c r="AG805" s="2538"/>
      <c r="AH805" s="2538"/>
      <c r="AI805" s="2538"/>
      <c r="AJ805" s="2538"/>
      <c r="AK805" s="2538"/>
      <c r="AL805" s="818"/>
      <c r="AM805" s="596"/>
      <c r="AO805" s="816"/>
      <c r="AP805" s="816"/>
      <c r="AQ805" s="816"/>
    </row>
    <row r="806" spans="1:81">
      <c r="A806" s="819" t="s">
        <v>1550</v>
      </c>
      <c r="B806" s="2552" t="s">
        <v>1323</v>
      </c>
      <c r="C806" s="2552"/>
      <c r="D806" s="2552"/>
      <c r="E806" s="2552"/>
      <c r="F806" s="2552"/>
      <c r="G806" s="2552"/>
      <c r="H806" s="2552"/>
      <c r="I806" s="2552"/>
      <c r="J806" s="2552"/>
      <c r="K806" s="2552"/>
      <c r="L806" s="2552"/>
      <c r="M806" s="2552"/>
      <c r="N806" s="2552"/>
      <c r="O806" s="2552"/>
      <c r="P806" s="2552"/>
      <c r="Q806" s="2552"/>
      <c r="R806" s="2552"/>
      <c r="S806" s="2553"/>
      <c r="T806" s="2554">
        <f ca="1">AK109</f>
        <v>20</v>
      </c>
      <c r="U806" s="2555"/>
      <c r="V806" s="2555"/>
      <c r="W806" s="2555"/>
      <c r="X806" s="2555"/>
      <c r="Y806" s="2556"/>
      <c r="Z806" s="2557">
        <v>20</v>
      </c>
      <c r="AA806" s="2555"/>
      <c r="AB806" s="2555"/>
      <c r="AC806" s="2555"/>
      <c r="AD806" s="2555"/>
      <c r="AE806" s="2556"/>
      <c r="AF806" s="2538">
        <f ca="1">IF(T806&gt;Z806,Z806,T806)</f>
        <v>20</v>
      </c>
      <c r="AG806" s="2538"/>
      <c r="AH806" s="2538"/>
      <c r="AI806" s="2538"/>
      <c r="AJ806" s="2538"/>
      <c r="AK806" s="2538"/>
      <c r="AL806" s="818"/>
      <c r="AM806" s="596"/>
      <c r="AO806" s="816"/>
      <c r="AP806" s="816"/>
      <c r="AQ806" s="816"/>
    </row>
    <row r="807" spans="1:81">
      <c r="A807" s="819" t="s">
        <v>1572</v>
      </c>
      <c r="B807" s="2552" t="s">
        <v>1333</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8"/>
      <c r="AM807" s="596"/>
      <c r="AO807" s="816"/>
      <c r="AP807" s="816"/>
      <c r="AQ807" s="816"/>
    </row>
    <row r="808" spans="1:81">
      <c r="A808" s="820" t="s">
        <v>1573</v>
      </c>
      <c r="B808" s="2552" t="s">
        <v>1574</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8"/>
      <c r="AM808" s="596"/>
    </row>
    <row r="809" spans="1:81">
      <c r="A809" s="535"/>
      <c r="B809" s="601"/>
      <c r="C809" s="2579" t="s">
        <v>1575</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8"/>
      <c r="AM809" s="596"/>
    </row>
    <row r="810" spans="1:81">
      <c r="A810" s="600"/>
      <c r="B810" s="601"/>
      <c r="C810" s="2579" t="s">
        <v>1576</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8"/>
      <c r="AM810" s="596"/>
      <c r="AO810" s="550"/>
    </row>
    <row r="811" spans="1:81">
      <c r="A811" s="820" t="s">
        <v>1361</v>
      </c>
      <c r="B811" s="2552" t="s">
        <v>1577</v>
      </c>
      <c r="C811" s="2552"/>
      <c r="D811" s="2552"/>
      <c r="E811" s="2552"/>
      <c r="F811" s="2552"/>
      <c r="G811" s="2552"/>
      <c r="H811" s="2552"/>
      <c r="I811" s="2552"/>
      <c r="J811" s="2552"/>
      <c r="K811" s="2552"/>
      <c r="L811" s="2552"/>
      <c r="M811" s="2552"/>
      <c r="N811" s="2552"/>
      <c r="O811" s="2552"/>
      <c r="P811" s="2552"/>
      <c r="Q811" s="2552"/>
      <c r="R811" s="2552"/>
      <c r="S811" s="2553"/>
      <c r="T811" s="2578">
        <f>AK191</f>
        <v>10</v>
      </c>
      <c r="U811" s="2578"/>
      <c r="V811" s="2578"/>
      <c r="W811" s="2578"/>
      <c r="X811" s="2578"/>
      <c r="Y811" s="2578"/>
      <c r="Z811" s="2538">
        <v>10</v>
      </c>
      <c r="AA811" s="2538"/>
      <c r="AB811" s="2538"/>
      <c r="AC811" s="2538"/>
      <c r="AD811" s="2538"/>
      <c r="AE811" s="2538"/>
      <c r="AF811" s="2538">
        <f>IF(T811&gt;Z811,Z811,T811)</f>
        <v>10</v>
      </c>
      <c r="AG811" s="2538"/>
      <c r="AH811" s="2538"/>
      <c r="AI811" s="2538"/>
      <c r="AJ811" s="2538"/>
      <c r="AK811" s="2538"/>
      <c r="AL811" s="818"/>
      <c r="AM811" s="596"/>
    </row>
    <row r="812" spans="1:81">
      <c r="A812" s="819" t="s">
        <v>1370</v>
      </c>
      <c r="B812" s="2552" t="s">
        <v>1371</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8"/>
      <c r="AM812" s="596"/>
    </row>
    <row r="813" spans="1:81" s="534" customFormat="1" hidden="1">
      <c r="A813" s="820" t="s">
        <v>589</v>
      </c>
      <c r="B813" s="2552" t="s">
        <v>1578</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2" t="s">
        <v>1579</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2" t="s">
        <v>1381</v>
      </c>
      <c r="C815" s="2552"/>
      <c r="D815" s="2552"/>
      <c r="E815" s="2552"/>
      <c r="F815" s="2552"/>
      <c r="G815" s="2552"/>
      <c r="H815" s="2552"/>
      <c r="I815" s="2552"/>
      <c r="J815" s="2552"/>
      <c r="K815" s="2552"/>
      <c r="L815" s="2552"/>
      <c r="M815" s="2552"/>
      <c r="N815" s="2552"/>
      <c r="O815" s="2552"/>
      <c r="P815" s="2552"/>
      <c r="Q815" s="2552"/>
      <c r="R815" s="2552"/>
      <c r="S815" s="2553"/>
      <c r="T815" s="2578">
        <f>AK338</f>
        <v>9</v>
      </c>
      <c r="U815" s="2578"/>
      <c r="V815" s="2578"/>
      <c r="W815" s="2578"/>
      <c r="X815" s="2578"/>
      <c r="Y815" s="2578"/>
      <c r="Z815" s="2584">
        <v>10</v>
      </c>
      <c r="AA815" s="2585"/>
      <c r="AB815" s="2585"/>
      <c r="AC815" s="2585"/>
      <c r="AD815" s="2585"/>
      <c r="AE815" s="2586"/>
      <c r="AF815" s="2584">
        <f>IF(T815&gt;Z815,Z815,T815)</f>
        <v>9</v>
      </c>
      <c r="AG815" s="2585"/>
      <c r="AH815" s="2585"/>
      <c r="AI815" s="2585"/>
      <c r="AJ815" s="2585"/>
      <c r="AK815" s="25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1">
        <f>AK338</f>
        <v>9</v>
      </c>
      <c r="U816" s="2471"/>
      <c r="V816" s="2471"/>
      <c r="W816" s="2471"/>
      <c r="X816" s="2471"/>
      <c r="Y816" s="2471"/>
      <c r="Z816" s="2476">
        <v>20</v>
      </c>
      <c r="AA816" s="2477"/>
      <c r="AB816" s="2477"/>
      <c r="AC816" s="2477"/>
      <c r="AD816" s="2477"/>
      <c r="AE816" s="2478"/>
      <c r="AF816" s="2581"/>
      <c r="AG816" s="2581"/>
      <c r="AH816" s="2581"/>
      <c r="AI816" s="2581"/>
      <c r="AJ816" s="2581"/>
      <c r="AK816" s="25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2" t="s">
        <v>845</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2" t="s">
        <v>1559</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2" t="s">
        <v>1581</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2" t="s">
        <v>1582</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1583</v>
      </c>
      <c r="AA820" s="2472"/>
      <c r="AB820" s="2472"/>
      <c r="AC820" s="2472"/>
      <c r="AD820" s="2472"/>
      <c r="AE820" s="2472"/>
      <c r="AF820" s="2584">
        <f>IF(T820&gt;0,T820,0)</f>
        <v>0</v>
      </c>
      <c r="AG820" s="2585"/>
      <c r="AH820" s="2585"/>
      <c r="AI820" s="2585"/>
      <c r="AJ820" s="2585"/>
      <c r="AK820" s="25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7" t="s">
        <v>1584</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 ca="1">SUM(AF804:AK819)-AF820</f>
        <v>119</v>
      </c>
      <c r="AG821" s="2594"/>
      <c r="AH821" s="2594"/>
      <c r="AI821" s="2594"/>
      <c r="AJ821" s="2594"/>
      <c r="AK821" s="25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7" ma:contentTypeDescription="Create a new document." ma:contentTypeScope="" ma:versionID="e3c9347aa4117cae7f2105ecef020e34">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fb13cbadf2321b3f21af95eb60ba41bb"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IconOverlay xmlns="http://schemas.microsoft.com/sharepoint/v4" xsi:nil="true"/>
    <lcf76f155ced4ddcb4097134ff3c332f xmlns="36fc743b-267c-480e-9bd5-38a213356c5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E8A4C8F-676E-4C47-90D5-2BCA9CB651E6}">
  <ds:schemaRefs>
    <ds:schemaRef ds:uri="http://schemas.microsoft.com/sharepoint/v3/contenttype/forms"/>
  </ds:schemaRefs>
</ds:datastoreItem>
</file>

<file path=customXml/itemProps2.xml><?xml version="1.0" encoding="utf-8"?>
<ds:datastoreItem xmlns:ds="http://schemas.openxmlformats.org/officeDocument/2006/customXml" ds:itemID="{8A140781-B7F0-4B1D-97AE-378F8027D2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fc743b-267c-480e-9bd5-38a213356c55"/>
    <ds:schemaRef ds:uri="5ebaabba-4a57-48b0-85b2-b83b7f4de49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2D7FAB-861B-42AE-8DB8-3637BB2C817F}">
  <ds:schemaRefs>
    <ds:schemaRef ds:uri="http://schemas.microsoft.com/office/2006/metadata/properties"/>
    <ds:schemaRef ds:uri="http://schemas.microsoft.com/office/infopath/2007/PartnerControls"/>
    <ds:schemaRef ds:uri="5ebaabba-4a57-48b0-85b2-b83b7f4de49e"/>
    <ds:schemaRef ds:uri="http://schemas.microsoft.com/sharepoint/v4"/>
    <ds:schemaRef ds:uri="36fc743b-267c-480e-9bd5-38a213356c55"/>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2025-06-05T17:25:38Z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0x0101009A6D2B77A0B2DD4A8C5DC84B6390788D</vt:lpwstr>
  </property>
  <property fmtid="{D5CDD505-2E9C-101B-9397-08002B2CF9AE}" pid="3" name="MediaServiceImageTags">
    <vt:lpwstr/>
  </property>
</Properties>
</file>