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49A20446-ADD4-4158-864F-7A83F1668057}" xr6:coauthVersionLast="47" xr6:coauthVersionMax="47" xr10:uidLastSave="{00000000-0000-0000-0000-000000000000}"/>
  <bookViews>
    <workbookView xWindow="-120" yWindow="-120" windowWidth="25440" windowHeight="1539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6" i="3" l="1"/>
  <c r="S45" i="4"/>
  <c r="C45" i="4"/>
  <c r="W861" i="3"/>
  <c r="W859" i="3"/>
  <c r="W857" i="3"/>
  <c r="G24" i="7"/>
  <c r="I24" i="7" s="1"/>
  <c r="E45" i="4" l="1"/>
  <c r="AM557" i="3"/>
  <c r="G19" i="4"/>
  <c r="C84" i="4"/>
  <c r="C83" i="4"/>
  <c r="C25" i="4"/>
  <c r="C65" i="4"/>
  <c r="E65" i="4" s="1"/>
  <c r="C93" i="4" l="1"/>
  <c r="E79" i="4"/>
  <c r="T99" i="4"/>
  <c r="I73" i="4"/>
  <c r="E73" i="4" s="1"/>
  <c r="H4" i="4"/>
  <c r="H9" i="4" s="1"/>
  <c r="E41" i="7" l="1"/>
  <c r="E42" i="7"/>
  <c r="AC891" i="3" l="1"/>
  <c r="W866" i="3"/>
  <c r="W868" i="3"/>
  <c r="W869" i="3"/>
  <c r="W865" i="3"/>
  <c r="W867" i="3"/>
  <c r="W852" i="3"/>
  <c r="W854" i="3"/>
  <c r="W853" i="3"/>
  <c r="W843" i="3"/>
  <c r="O725" i="3"/>
  <c r="O722" i="3"/>
  <c r="O719" i="3"/>
  <c r="E93" i="4"/>
  <c r="C47" i="4"/>
  <c r="E47" i="4" s="1"/>
  <c r="C48" i="4"/>
  <c r="E48" i="4" s="1"/>
  <c r="E83" i="4"/>
  <c r="E52" i="4"/>
  <c r="E56" i="4"/>
  <c r="E86" i="4"/>
  <c r="E90" i="4"/>
  <c r="E91" i="4"/>
  <c r="E92" i="4"/>
  <c r="E99" i="4"/>
  <c r="C94" i="4"/>
  <c r="E94" i="4" s="1"/>
  <c r="E46" i="4"/>
  <c r="E27" i="4"/>
  <c r="E50" i="4"/>
  <c r="E80" i="4"/>
  <c r="E84" i="4"/>
  <c r="C43" i="4"/>
  <c r="G43" i="4" s="1"/>
  <c r="G41" i="4"/>
  <c r="G40" i="4"/>
  <c r="G21" i="4"/>
  <c r="G22" i="4"/>
  <c r="G23" i="4"/>
  <c r="G24" i="4"/>
  <c r="G25" i="4"/>
  <c r="G20" i="4"/>
  <c r="F18" i="4"/>
  <c r="F9" i="4"/>
  <c r="M975" i="3"/>
  <c r="AA968" i="3" s="1"/>
  <c r="M958" i="3"/>
  <c r="AA923" i="3"/>
  <c r="AO630" i="3"/>
  <c r="AO629" i="3"/>
  <c r="AD199" i="20" s="1"/>
  <c r="C632" i="3"/>
  <c r="C631" i="3"/>
  <c r="C630" i="3"/>
  <c r="C629" i="3"/>
  <c r="A42" i="7" s="1"/>
  <c r="N226" i="20" l="1"/>
  <c r="N225" i="20"/>
  <c r="N224" i="20"/>
  <c r="O724" i="3" l="1"/>
  <c r="O721" i="3"/>
  <c r="O718" i="3"/>
  <c r="C628" i="3" l="1"/>
  <c r="A41" i="7" s="1"/>
  <c r="C627" i="3"/>
  <c r="H290" i="3"/>
  <c r="H288" i="3"/>
  <c r="H287" i="3"/>
  <c r="M244"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7" i="21" l="1"/>
  <c r="R47" i="21" a="1"/>
  <c r="R47" i="21" s="1"/>
  <c r="P49" i="21" a="1"/>
  <c r="P49" i="21" s="1"/>
  <c r="P52" i="21" a="1"/>
  <c r="P52" i="21" s="1"/>
  <c r="S48" i="21"/>
  <c r="U49" i="21"/>
  <c r="R53" i="21" a="1"/>
  <c r="R53" i="21" s="1"/>
  <c r="T47" i="21"/>
  <c r="S47" i="21"/>
  <c r="U45" i="21"/>
  <c r="U51" i="21"/>
  <c r="T49" i="21"/>
  <c r="T45" i="21"/>
  <c r="R51" i="21" a="1"/>
  <c r="R51" i="21" s="1"/>
  <c r="S49" i="21"/>
  <c r="S45" i="21"/>
  <c r="R49" i="21" a="1"/>
  <c r="R49" i="21" s="1"/>
  <c r="U50" i="21"/>
  <c r="S50" i="21"/>
  <c r="O50" i="21"/>
  <c r="S46" i="21"/>
  <c r="S52" i="21"/>
  <c r="P50" i="21" a="1"/>
  <c r="P50" i="21" s="1"/>
  <c r="U53" i="21"/>
  <c r="T51" i="21"/>
  <c r="U48" i="21"/>
  <c r="T53" i="21"/>
  <c r="S51" i="21"/>
  <c r="T48" i="21"/>
  <c r="P51" i="21" a="1"/>
  <c r="P51" i="21" s="1"/>
  <c r="R48" i="21" a="1"/>
  <c r="R48" i="21" s="1"/>
  <c r="U46" i="21"/>
  <c r="P48" i="21" a="1"/>
  <c r="P48" i="21" s="1"/>
  <c r="T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I20" i="8"/>
  <c r="J20" i="8" s="1"/>
  <c r="I19" i="8"/>
  <c r="J19" i="8" s="1"/>
  <c r="J18" i="8"/>
  <c r="I18" i="8"/>
  <c r="J17" i="8"/>
  <c r="I17" i="8"/>
  <c r="J16" i="8"/>
  <c r="I16" i="8"/>
  <c r="AH750" i="3"/>
  <c r="AH749" i="3"/>
  <c r="AH748" i="3"/>
  <c r="AH747" i="3"/>
  <c r="AH746" i="3"/>
  <c r="AH745" i="3"/>
  <c r="AH744" i="3"/>
  <c r="AH743" i="3"/>
  <c r="AH741" i="3"/>
  <c r="AH740" i="3"/>
  <c r="AH739" i="3"/>
  <c r="AH738" i="3"/>
  <c r="AH737" i="3"/>
  <c r="AH736" i="3"/>
  <c r="AH735" i="3"/>
  <c r="AH732"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O32" i="21" s="1"/>
  <c r="M33" i="21"/>
  <c r="M34" i="21"/>
  <c r="O34" i="21" s="1"/>
  <c r="M35" i="21"/>
  <c r="M36" i="2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G6" i="8" s="1"/>
  <c r="B10" i="8"/>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K24" i="7"/>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B9" i="8"/>
  <c r="G9" i="8" s="1"/>
  <c r="B11" i="8"/>
  <c r="B12" i="8"/>
  <c r="G12" i="8" s="1"/>
  <c r="B13" i="8"/>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1" i="13"/>
  <c r="E89" i="13"/>
  <c r="E87" i="13"/>
  <c r="E85" i="13"/>
  <c r="E65" i="13"/>
  <c r="E53" i="13"/>
  <c r="E51" i="13"/>
  <c r="E49"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E95" i="13" s="1"/>
  <c r="R94" i="4"/>
  <c r="S94" i="4" s="1"/>
  <c r="E94" i="13" s="1"/>
  <c r="R93" i="4"/>
  <c r="S93" i="4" s="1"/>
  <c r="E93" i="13" s="1"/>
  <c r="R92" i="4"/>
  <c r="S92" i="4" s="1"/>
  <c r="E92" i="13" s="1"/>
  <c r="R90" i="4"/>
  <c r="S90" i="4" s="1"/>
  <c r="E90" i="13" s="1"/>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S50" i="4" s="1"/>
  <c r="R49" i="4"/>
  <c r="R48" i="4"/>
  <c r="E48" i="13" s="1"/>
  <c r="R47" i="4"/>
  <c r="R46" i="4"/>
  <c r="S46" i="4" s="1"/>
  <c r="E46" i="13" s="1"/>
  <c r="R45" i="4"/>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8" i="4"/>
  <c r="R17" i="4"/>
  <c r="R15" i="4"/>
  <c r="R14" i="4"/>
  <c r="R13" i="4"/>
  <c r="R9" i="4"/>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AH731" i="3" s="1"/>
  <c r="X732" i="3"/>
  <c r="X733" i="3"/>
  <c r="AH733" i="3" s="1"/>
  <c r="X734" i="3"/>
  <c r="AH734" i="3" s="1"/>
  <c r="X735" i="3"/>
  <c r="X736" i="3"/>
  <c r="X737" i="3"/>
  <c r="X738" i="3"/>
  <c r="X739" i="3"/>
  <c r="X740" i="3"/>
  <c r="X741" i="3"/>
  <c r="M832" i="3"/>
  <c r="Q832" i="3"/>
  <c r="U832" i="3"/>
  <c r="Y832" i="3"/>
  <c r="AC832" i="3"/>
  <c r="AG832" i="3"/>
  <c r="Z902" i="3"/>
  <c r="S42" i="4" l="1"/>
  <c r="E42" i="13" s="1"/>
  <c r="S81" i="4"/>
  <c r="E81" i="13" s="1"/>
  <c r="E79" i="13"/>
  <c r="S18" i="4"/>
  <c r="S26" i="4" s="1"/>
  <c r="E26" i="13" s="1"/>
  <c r="S96" i="4"/>
  <c r="E96" i="13" s="1"/>
  <c r="S47" i="4"/>
  <c r="E47" i="13" s="1"/>
  <c r="E50" i="13"/>
  <c r="D35" i="11"/>
  <c r="J9" i="8"/>
  <c r="T11" i="4"/>
  <c r="H11" i="13" s="1"/>
  <c r="J15" i="8"/>
  <c r="J12" i="8"/>
  <c r="G14" i="8"/>
  <c r="J14" i="8"/>
  <c r="G13" i="8"/>
  <c r="J13" i="8"/>
  <c r="G11" i="8"/>
  <c r="J11" i="8"/>
  <c r="G10" i="8"/>
  <c r="J10" i="8"/>
  <c r="G8" i="8"/>
  <c r="J8" i="8"/>
  <c r="G5" i="8"/>
  <c r="J5" i="8"/>
  <c r="G4" i="8"/>
  <c r="J4" i="8"/>
  <c r="B26" i="4"/>
  <c r="E18"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S38" i="21"/>
  <c r="S37" i="21"/>
  <c r="S43" i="21"/>
  <c r="S42" i="21"/>
  <c r="S34" i="21"/>
  <c r="U20" i="21"/>
  <c r="S41" i="21"/>
  <c r="U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T63" i="4" l="1"/>
  <c r="T97" i="4" s="1"/>
  <c r="S54" i="4"/>
  <c r="D105" i="11"/>
  <c r="G40" i="8"/>
  <c r="J40" i="8"/>
  <c r="D43" i="11"/>
  <c r="D71" i="11"/>
  <c r="B12" i="4"/>
  <c r="N195" i="23"/>
  <c r="D55" i="11"/>
  <c r="D82" i="11"/>
  <c r="D39" i="11"/>
  <c r="D78" i="11"/>
  <c r="R12" i="4"/>
  <c r="D12" i="11"/>
  <c r="D63" i="11"/>
  <c r="B13" i="11"/>
  <c r="C64" i="11"/>
  <c r="C98" i="11" s="1"/>
  <c r="B64" i="11"/>
  <c r="B98" i="11" s="1"/>
  <c r="B106" i="11" s="1"/>
  <c r="B63" i="4"/>
  <c r="R63" i="4"/>
  <c r="R97" i="4" s="1"/>
  <c r="R105" i="4" s="1"/>
  <c r="D27" i="11"/>
  <c r="D97" i="11"/>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54" i="13" l="1"/>
  <c r="S63" i="4"/>
  <c r="Z809" i="3"/>
  <c r="O36" i="21"/>
  <c r="P36" i="21" s="1" a="1"/>
  <c r="P36" i="21" s="1"/>
  <c r="S36" i="21" s="1"/>
  <c r="O35" i="21"/>
  <c r="P35" i="21" s="1" a="1"/>
  <c r="P35" i="21" s="1"/>
  <c r="S35" i="21" s="1"/>
  <c r="O33" i="21"/>
  <c r="P33" i="21" s="1" a="1"/>
  <c r="P33" i="21" s="1"/>
  <c r="S33" i="21" s="1"/>
  <c r="O31" i="21"/>
  <c r="O28" i="21"/>
  <c r="O25" i="21"/>
  <c r="P25" i="21" s="1" a="1"/>
  <c r="P25" i="21" s="1"/>
  <c r="S25" i="21" s="1"/>
  <c r="O22" i="21"/>
  <c r="P22" i="21" s="1" a="1"/>
  <c r="P22" i="21" s="1"/>
  <c r="S22" i="21" s="1"/>
  <c r="AZ1048" i="3"/>
  <c r="O30" i="21"/>
  <c r="P30" i="21" s="1" a="1"/>
  <c r="P30" i="21" s="1"/>
  <c r="S30" i="21" s="1"/>
  <c r="O29" i="21"/>
  <c r="P29" i="21" s="1" a="1"/>
  <c r="P29" i="21" s="1"/>
  <c r="S29" i="21" s="1"/>
  <c r="O23" i="21"/>
  <c r="P23" i="21" s="1" a="1"/>
  <c r="P23" i="21" s="1"/>
  <c r="S23" i="21" s="1"/>
  <c r="O24" i="21"/>
  <c r="P24" i="21" s="1" a="1"/>
  <c r="P24" i="21" s="1"/>
  <c r="S24" i="21" s="1"/>
  <c r="O27" i="21"/>
  <c r="P27" i="21" s="1" a="1"/>
  <c r="P27" i="21" s="1"/>
  <c r="S27" i="21" s="1"/>
  <c r="O21" i="21"/>
  <c r="P21" i="21" s="1" a="1"/>
  <c r="P21" i="21" s="1"/>
  <c r="S21" i="21" s="1"/>
  <c r="O26" i="21"/>
  <c r="P26" i="21" s="1" a="1"/>
  <c r="P26" i="21" s="1"/>
  <c r="S26" i="21" s="1"/>
  <c r="D64" i="11"/>
  <c r="B105" i="4"/>
  <c r="AB47" i="15" s="1"/>
  <c r="BE101" i="3"/>
  <c r="AK84" i="20"/>
  <c r="AK191" i="20" s="1"/>
  <c r="T811" i="20" s="1"/>
  <c r="AF811" i="20" s="1"/>
  <c r="BE76" i="3" s="1"/>
  <c r="D13" i="11"/>
  <c r="B97" i="13"/>
  <c r="B97" i="4"/>
  <c r="B105" i="13"/>
  <c r="AG269" i="20"/>
  <c r="O58" i="7"/>
  <c r="Q53" i="7"/>
  <c r="T105" i="4"/>
  <c r="H97" i="13"/>
  <c r="P31" i="21" a="1"/>
  <c r="P31" i="21" s="1"/>
  <c r="S31" i="21" s="1"/>
  <c r="P28" i="21" a="1"/>
  <c r="P28" i="21" s="1"/>
  <c r="S28"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63" i="13" l="1"/>
  <c r="S97" i="4"/>
  <c r="E6" i="7"/>
  <c r="M960" i="3"/>
  <c r="M961" i="3" s="1"/>
  <c r="T805" i="20"/>
  <c r="AF805" i="20" s="1"/>
  <c r="BE72" i="3" s="1"/>
  <c r="AB266" i="20"/>
  <c r="AG268" i="20" s="1"/>
  <c r="AG270" i="20" s="1"/>
  <c r="AK273" i="20" s="1"/>
  <c r="T812" i="20" s="1"/>
  <c r="AF812" i="20" s="1"/>
  <c r="BE77" i="3" s="1"/>
  <c r="AC454" i="3"/>
  <c r="N185" i="23"/>
  <c r="BE22" i="3"/>
  <c r="AB49" i="15"/>
  <c r="AB54" i="15" s="1"/>
  <c r="AB55" i="15" s="1"/>
  <c r="H105" i="13"/>
  <c r="T107" i="4"/>
  <c r="H107" i="13" s="1"/>
  <c r="AD11" i="15" s="1"/>
  <c r="AD23" i="15" s="1"/>
  <c r="AD26" i="15" s="1"/>
  <c r="AD28" i="15" s="1"/>
  <c r="Q58" i="7"/>
  <c r="S53" i="7"/>
  <c r="G45" i="21"/>
  <c r="G47" i="21" s="1"/>
  <c r="E10" i="21" s="1"/>
  <c r="E11" i="21"/>
  <c r="Y26" i="15"/>
  <c r="Y28" i="15" s="1"/>
  <c r="AP705" i="20"/>
  <c r="AP706" i="20"/>
  <c r="I4" i="7"/>
  <c r="I5" i="7" s="1"/>
  <c r="K9" i="7"/>
  <c r="AJ992" i="3"/>
  <c r="E138" i="20"/>
  <c r="E139" i="20" s="1"/>
  <c r="AK143" i="20" s="1"/>
  <c r="T807" i="20" s="1"/>
  <c r="AF807" i="20" s="1"/>
  <c r="BE74" i="3" s="1"/>
  <c r="AB991" i="3"/>
  <c r="DU802" i="3"/>
  <c r="U373" i="20" s="1"/>
  <c r="P421" i="3"/>
  <c r="M22" i="7"/>
  <c r="M35" i="7" s="1"/>
  <c r="O15" i="7"/>
  <c r="M9" i="7"/>
  <c r="O8" i="7"/>
  <c r="G27" i="21"/>
  <c r="F26" i="21"/>
  <c r="AZ1046" i="3" l="1"/>
  <c r="S105" i="4"/>
  <c r="E97" i="13"/>
  <c r="E7" i="7"/>
  <c r="E11" i="7" s="1"/>
  <c r="E37" i="7" s="1"/>
  <c r="E49" i="7" s="1"/>
  <c r="G6" i="7"/>
  <c r="BE44" i="3"/>
  <c r="F457" i="3"/>
  <c r="N196" i="23"/>
  <c r="N186" i="23"/>
  <c r="S58" i="7"/>
  <c r="U53" i="7"/>
  <c r="AJ1045" i="3"/>
  <c r="AJ1049" i="3"/>
  <c r="AP553" i="20" s="1"/>
  <c r="AP550" i="20"/>
  <c r="K4" i="7"/>
  <c r="M4" i="7" s="1"/>
  <c r="G26" i="21"/>
  <c r="F29" i="21"/>
  <c r="G29" i="21"/>
  <c r="O22" i="7"/>
  <c r="O35" i="7" s="1"/>
  <c r="Q15" i="7"/>
  <c r="O9" i="7"/>
  <c r="Q8" i="7"/>
  <c r="E105" i="13" l="1"/>
  <c r="S107" i="4"/>
  <c r="BA1056" i="3"/>
  <c r="AZ1051" i="3"/>
  <c r="E45" i="7"/>
  <c r="E48" i="7" s="1"/>
  <c r="G7" i="7"/>
  <c r="G11" i="7" s="1"/>
  <c r="G37" i="7" s="1"/>
  <c r="I6" i="7"/>
  <c r="Y64" i="15"/>
  <c r="Y68" i="15" s="1"/>
  <c r="Y69" i="15" s="1"/>
  <c r="U58" i="7"/>
  <c r="W53" i="7"/>
  <c r="AJ1053" i="3"/>
  <c r="AP552" i="20"/>
  <c r="AP554" i="20" s="1"/>
  <c r="K5" i="7"/>
  <c r="O4" i="7"/>
  <c r="M5" i="7"/>
  <c r="Q22" i="7"/>
  <c r="Q35" i="7" s="1"/>
  <c r="S15" i="7"/>
  <c r="G79" i="21"/>
  <c r="G31" i="21"/>
  <c r="G33" i="21" s="1"/>
  <c r="E9" i="21" s="1"/>
  <c r="G88" i="21"/>
  <c r="G90" i="21" s="1"/>
  <c r="E16" i="21" s="1"/>
  <c r="G111" i="21"/>
  <c r="G96" i="21"/>
  <c r="Q9" i="7"/>
  <c r="S8" i="7"/>
  <c r="BA1055" i="3" l="1"/>
  <c r="BA1059" i="3" s="1"/>
  <c r="E60" i="7"/>
  <c r="E62" i="7" s="1"/>
  <c r="AA1056" i="3"/>
  <c r="AF551" i="20"/>
  <c r="E107" i="13"/>
  <c r="T11" i="15" s="1"/>
  <c r="T23" i="15" s="1"/>
  <c r="T26" i="15" s="1"/>
  <c r="T28" i="15" s="1"/>
  <c r="T29" i="15" s="1"/>
  <c r="AC456" i="3"/>
  <c r="E47" i="7"/>
  <c r="I7" i="7"/>
  <c r="I11" i="7" s="1"/>
  <c r="I37" i="7" s="1"/>
  <c r="K6" i="7"/>
  <c r="G45" i="7"/>
  <c r="G49" i="7"/>
  <c r="G80" i="21"/>
  <c r="E15" i="21" s="1"/>
  <c r="W58" i="7"/>
  <c r="Y53" i="7"/>
  <c r="T24" i="15"/>
  <c r="AP557" i="20"/>
  <c r="AP556" i="20" s="1"/>
  <c r="AP559" i="20" s="1"/>
  <c r="AF552" i="20" s="1"/>
  <c r="O5" i="7"/>
  <c r="Q4" i="7"/>
  <c r="G101" i="21"/>
  <c r="G113" i="21"/>
  <c r="G97" i="21"/>
  <c r="S22" i="7"/>
  <c r="S35" i="7" s="1"/>
  <c r="U15" i="7"/>
  <c r="U8" i="7"/>
  <c r="S9" i="7"/>
  <c r="E67" i="7" l="1"/>
  <c r="AF553" i="20"/>
  <c r="AK559" i="20" s="1"/>
  <c r="T818" i="20" s="1"/>
  <c r="AF818" i="20" s="1"/>
  <c r="BE81" i="3" s="1"/>
  <c r="E66" i="7"/>
  <c r="E70" i="7" s="1"/>
  <c r="E72" i="7" s="1"/>
  <c r="AA1057" i="3"/>
  <c r="G1058" i="3" s="1"/>
  <c r="Y38" i="15"/>
  <c r="Y40" i="15" s="1"/>
  <c r="G60" i="7"/>
  <c r="G47" i="7"/>
  <c r="G48" i="7"/>
  <c r="M6" i="7"/>
  <c r="K7" i="7"/>
  <c r="K11" i="7" s="1"/>
  <c r="K37" i="7" s="1"/>
  <c r="K45" i="7" s="1"/>
  <c r="K60" i="7" s="1"/>
  <c r="I45" i="7"/>
  <c r="I49" i="7"/>
  <c r="AA53" i="7"/>
  <c r="Y58" i="7"/>
  <c r="AD38" i="15"/>
  <c r="AD40" i="15" s="1"/>
  <c r="G115" i="21"/>
  <c r="E17" i="21" s="1"/>
  <c r="E14" i="21" s="1"/>
  <c r="E18" i="21" s="1"/>
  <c r="S4" i="7"/>
  <c r="Q5" i="7"/>
  <c r="U22" i="7"/>
  <c r="U35" i="7" s="1"/>
  <c r="W15" i="7"/>
  <c r="U9" i="7"/>
  <c r="W8" i="7"/>
  <c r="Y41" i="15" l="1"/>
  <c r="AB56" i="15" s="1"/>
  <c r="M26" i="3" s="1"/>
  <c r="BE19" i="3" s="1"/>
  <c r="K49" i="7"/>
  <c r="K47" i="7"/>
  <c r="O6" i="7"/>
  <c r="M7" i="7"/>
  <c r="M11" i="7" s="1"/>
  <c r="M37" i="7" s="1"/>
  <c r="I60" i="7"/>
  <c r="I47" i="7"/>
  <c r="I48" i="7"/>
  <c r="K48" i="7"/>
  <c r="G67" i="7"/>
  <c r="G62" i="7"/>
  <c r="G66" i="7"/>
  <c r="AC53" i="7"/>
  <c r="AA58" i="7"/>
  <c r="U4" i="7"/>
  <c r="S5" i="7"/>
  <c r="K66" i="7"/>
  <c r="K67" i="7"/>
  <c r="K62" i="7"/>
  <c r="W22" i="7"/>
  <c r="W35" i="7" s="1"/>
  <c r="Y15" i="7"/>
  <c r="W9" i="7"/>
  <c r="Y8" i="7"/>
  <c r="G70" i="7" l="1"/>
  <c r="G72" i="7" s="1"/>
  <c r="I62" i="7"/>
  <c r="I66" i="7"/>
  <c r="I67" i="7"/>
  <c r="M49" i="7"/>
  <c r="M45" i="7"/>
  <c r="Q6" i="7"/>
  <c r="O7" i="7"/>
  <c r="O11" i="7" s="1"/>
  <c r="O37" i="7" s="1"/>
  <c r="AE53" i="7"/>
  <c r="AC58" i="7"/>
  <c r="AB57" i="15"/>
  <c r="P204" i="3"/>
  <c r="U5" i="7"/>
  <c r="W4" i="7"/>
  <c r="K70" i="7"/>
  <c r="K72" i="7" s="1"/>
  <c r="Y22" i="7"/>
  <c r="Y35" i="7" s="1"/>
  <c r="AA15" i="7"/>
  <c r="Y9" i="7"/>
  <c r="AA8" i="7"/>
  <c r="Q7" i="7" l="1"/>
  <c r="Q11" i="7" s="1"/>
  <c r="Q37" i="7" s="1"/>
  <c r="S6" i="7"/>
  <c r="I70" i="7"/>
  <c r="I72" i="7" s="1"/>
  <c r="O45" i="7"/>
  <c r="O49" i="7"/>
  <c r="M48" i="7"/>
  <c r="M60" i="7"/>
  <c r="M47" i="7"/>
  <c r="AG53" i="7"/>
  <c r="AG58" i="7" s="1"/>
  <c r="AE58" i="7"/>
  <c r="AB59" i="15"/>
  <c r="AB77" i="15" s="1"/>
  <c r="W5" i="7"/>
  <c r="Y4" i="7"/>
  <c r="AC15" i="7"/>
  <c r="AA22" i="7"/>
  <c r="AA35" i="7" s="1"/>
  <c r="AC8" i="7"/>
  <c r="AA9" i="7"/>
  <c r="M62" i="7" l="1"/>
  <c r="M67" i="7"/>
  <c r="M66" i="7"/>
  <c r="O60" i="7"/>
  <c r="O47" i="7"/>
  <c r="O48" i="7"/>
  <c r="U6" i="7"/>
  <c r="S7" i="7"/>
  <c r="S11" i="7" s="1"/>
  <c r="S37" i="7" s="1"/>
  <c r="Q49" i="7"/>
  <c r="Q45" i="7"/>
  <c r="AB78" i="15"/>
  <c r="AB79" i="15" s="1"/>
  <c r="AB81" i="15" s="1"/>
  <c r="J82" i="15" s="1"/>
  <c r="AA4" i="7"/>
  <c r="Y5" i="7"/>
  <c r="AE15" i="7"/>
  <c r="AC22" i="7"/>
  <c r="AC35" i="7" s="1"/>
  <c r="AC9" i="7"/>
  <c r="AE8" i="7"/>
  <c r="M70" i="7" l="1"/>
  <c r="M72" i="7" s="1"/>
  <c r="Q60" i="7"/>
  <c r="Q47" i="7"/>
  <c r="Q48" i="7"/>
  <c r="U7" i="7"/>
  <c r="U11" i="7" s="1"/>
  <c r="U37" i="7" s="1"/>
  <c r="W6" i="7"/>
  <c r="O67" i="7"/>
  <c r="O66" i="7"/>
  <c r="O62" i="7"/>
  <c r="S45" i="7"/>
  <c r="S49" i="7"/>
  <c r="M27" i="3"/>
  <c r="BE20" i="3" s="1"/>
  <c r="I10" i="21"/>
  <c r="I11" i="21" s="1"/>
  <c r="AA5" i="7"/>
  <c r="AC4" i="7"/>
  <c r="AE22" i="7"/>
  <c r="AE35" i="7" s="1"/>
  <c r="AG15" i="7"/>
  <c r="AG22" i="7" s="1"/>
  <c r="AG35" i="7" s="1"/>
  <c r="AE9" i="7"/>
  <c r="AG8" i="7"/>
  <c r="AG9" i="7" s="1"/>
  <c r="O70" i="7" l="1"/>
  <c r="O72" i="7" s="1"/>
  <c r="U45" i="7"/>
  <c r="U49" i="7"/>
  <c r="S60" i="7"/>
  <c r="S47" i="7"/>
  <c r="S48" i="7"/>
  <c r="Y6" i="7"/>
  <c r="W7" i="7"/>
  <c r="W11" i="7" s="1"/>
  <c r="W37" i="7" s="1"/>
  <c r="Q66" i="7"/>
  <c r="Q67" i="7"/>
  <c r="Q62" i="7"/>
  <c r="I18" i="21"/>
  <c r="H4" i="21" s="1"/>
  <c r="P205" i="3"/>
  <c r="AC5" i="7"/>
  <c r="AE4" i="7"/>
  <c r="Q70" i="7" l="1"/>
  <c r="Q72" i="7" s="1"/>
  <c r="W49" i="7"/>
  <c r="W45" i="7"/>
  <c r="S67" i="7"/>
  <c r="S62" i="7"/>
  <c r="S66" i="7"/>
  <c r="AA6" i="7"/>
  <c r="Y7" i="7"/>
  <c r="Y11" i="7" s="1"/>
  <c r="Y37" i="7" s="1"/>
  <c r="U48" i="7"/>
  <c r="U47" i="7"/>
  <c r="U60" i="7"/>
  <c r="AE5" i="7"/>
  <c r="AG4" i="7"/>
  <c r="S70" i="7" l="1"/>
  <c r="S72" i="7" s="1"/>
  <c r="U66" i="7"/>
  <c r="U62" i="7"/>
  <c r="U67" i="7"/>
  <c r="Y45" i="7"/>
  <c r="Y49" i="7"/>
  <c r="AA7" i="7"/>
  <c r="AA11" i="7" s="1"/>
  <c r="AA37" i="7" s="1"/>
  <c r="AC6" i="7"/>
  <c r="W48" i="7"/>
  <c r="W47" i="7"/>
  <c r="W60" i="7"/>
  <c r="AG5" i="7"/>
  <c r="W67" i="7" l="1"/>
  <c r="W66" i="7"/>
  <c r="W62" i="7"/>
  <c r="Y47" i="7"/>
  <c r="Y60" i="7"/>
  <c r="Y48" i="7"/>
  <c r="AE6" i="7"/>
  <c r="AC7" i="7"/>
  <c r="AC11" i="7" s="1"/>
  <c r="AC37" i="7" s="1"/>
  <c r="AA45" i="7"/>
  <c r="AA49" i="7"/>
  <c r="U70" i="7"/>
  <c r="U72" i="7" s="1"/>
  <c r="W70" i="7" l="1"/>
  <c r="W72" i="7" s="1"/>
  <c r="AA60" i="7"/>
  <c r="AA47" i="7"/>
  <c r="AA48" i="7"/>
  <c r="AC45" i="7"/>
  <c r="AC49" i="7"/>
  <c r="Y62" i="7"/>
  <c r="Y67" i="7"/>
  <c r="Y66" i="7"/>
  <c r="AG6" i="7"/>
  <c r="AG7" i="7" s="1"/>
  <c r="AG11" i="7" s="1"/>
  <c r="AG37" i="7" s="1"/>
  <c r="AG45" i="7" s="1"/>
  <c r="AE7" i="7"/>
  <c r="AE11" i="7" s="1"/>
  <c r="AE37" i="7" s="1"/>
  <c r="Y70" i="7" l="1"/>
  <c r="Y72" i="7" s="1"/>
  <c r="AG49" i="7"/>
  <c r="AC60" i="7"/>
  <c r="AC48" i="7"/>
  <c r="AC47" i="7"/>
  <c r="AE49" i="7"/>
  <c r="AE45" i="7"/>
  <c r="AA67" i="7"/>
  <c r="AA66" i="7"/>
  <c r="AA62" i="7"/>
  <c r="AG48" i="7"/>
  <c r="AG60" i="7"/>
  <c r="AG47" i="7"/>
  <c r="AA70" i="7" l="1"/>
  <c r="AA72" i="7" s="1"/>
  <c r="AE60" i="7"/>
  <c r="AE48" i="7"/>
  <c r="AE47" i="7"/>
  <c r="AC62" i="7"/>
  <c r="AC67" i="7"/>
  <c r="AC66" i="7"/>
  <c r="AG62" i="7"/>
  <c r="AG66" i="7"/>
  <c r="AG67" i="7"/>
  <c r="AC70" i="7" l="1"/>
  <c r="AC72" i="7" s="1"/>
  <c r="AE62" i="7"/>
  <c r="AE66" i="7"/>
  <c r="AE67" i="7"/>
  <c r="AG70" i="7"/>
  <c r="AG72" i="7" s="1"/>
  <c r="BH753" i="3"/>
  <c r="AC753" i="3" s="1"/>
  <c r="BE42" i="3" s="1"/>
  <c r="AE70" i="7" l="1"/>
  <c r="AE72" i="7" s="1"/>
  <c r="E93" i="20"/>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<sst xmlns="http://schemas.openxmlformats.org/spreadsheetml/2006/main" count="5040" uniqueCount="2752">
  <si>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</si>
  <si>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</si>
  <si>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</si>
  <si>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</si>
  <si>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</si>
  <si>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</si>
  <si>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</si>
  <si>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</si>
  <si>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</si>
  <si>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</si>
  <si>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</si>
  <si>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</si>
  <si>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</si>
  <si>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</si>
  <si>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</si>
  <si>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</si>
  <si>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</si>
  <si>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</si>
  <si>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</si>
  <si>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</si>
  <si>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</si>
  <si>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</si>
  <si>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</si>
  <si>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</si>
  <si>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</si>
  <si>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</si>
  <si>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</si>
  <si>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</si>
  <si>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</si>
  <si>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</si>
  <si>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</si>
  <si>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</si>
  <si>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</si>
  <si>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</si>
  <si>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</si>
  <si>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</si>
  <si>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</si>
  <si>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</si>
  <si>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</si>
  <si>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</si>
  <si>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</si>
  <si>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</si>
  <si>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</si>
  <si>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</si>
  <si>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</si>
  <si>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</si>
  <si>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</si>
  <si>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</si>
  <si>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</si>
  <si>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</si>
  <si>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</si>
  <si>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</si>
  <si>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</si>
  <si>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</si>
  <si>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</si>
  <si>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</si>
  <si>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</si>
  <si>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</si>
  <si>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</si>
  <si>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</si>
  <si>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</si>
  <si>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</si>
  <si>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</si>
  <si>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</si>
  <si>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</si>
  <si>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</si>
  <si>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</si>
  <si>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</si>
  <si>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</si>
  <si>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</si>
  <si>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</si>
  <si>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</si>
  <si>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</si>
  <si>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</si>
  <si>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</si>
  <si>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</si>
  <si>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</si>
  <si>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</si>
  <si>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</si>
  <si>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</si>
  <si>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</si>
  <si>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</si>
  <si>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</si>
  <si>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</si>
  <si>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</si>
  <si>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</si>
  <si>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</si>
  <si>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</si>
  <si>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</si>
  <si>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</si>
  <si>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</si>
  <si>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</si>
  <si>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</si>
  <si>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</si>
  <si>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</si>
  <si>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</si>
  <si>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</si>
  <si>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</si>
  <si>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</si>
  <si>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</si>
  <si>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</si>
  <si>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</si>
  <si>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</si>
  <si>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</si>
  <si>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</si>
  <si>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</si>
  <si>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</si>
  <si>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</si>
  <si>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</si>
  <si>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</si>
  <si>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</si>
  <si>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</si>
  <si>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</si>
  <si>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</si>
  <si>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</si>
  <si>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</si>
  <si>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</si>
  <si>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</si>
  <si>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</si>
  <si>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</si>
  <si>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</si>
  <si>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</si>
  <si>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</si>
  <si>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</si>
  <si>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</si>
  <si>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</si>
  <si>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</si>
  <si>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</si>
  <si>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</si>
  <si>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</si>
  <si>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</si>
  <si>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</si>
  <si>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</si>
  <si>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</si>
  <si>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</si>
  <si>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</si>
  <si>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</si>
  <si>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</si>
  <si>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</si>
  <si>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</si>
  <si>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</si>
  <si>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</si>
  <si>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</si>
  <si>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</si>
  <si>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</si>
  <si>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</si>
  <si>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</si>
  <si>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</si>
  <si>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</si>
  <si>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</si>
  <si>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</si>
  <si>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</si>
  <si>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</si>
  <si>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</si>
  <si>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</si>
  <si>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</si>
  <si>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</si>
  <si>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</si>
  <si>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</si>
  <si>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</si>
  <si>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</si>
  <si>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</si>
  <si>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</si>
  <si>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</si>
  <si>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</si>
  <si>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</si>
  <si>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</si>
  <si>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</si>
  <si>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</si>
  <si>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</si>
  <si>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</si>
  <si>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</si>
  <si>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</si>
  <si>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</si>
  <si>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</si>
  <si>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</si>
  <si>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</si>
  <si>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</si>
  <si>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</si>
  <si>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</si>
  <si>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</si>
  <si>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</si>
  <si>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</si>
  <si>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</si>
  <si>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</si>
  <si>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</si>
  <si>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</si>
  <si>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</si>
  <si>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</si>
  <si>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</si>
  <si>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</si>
  <si>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</si>
  <si>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</si>
  <si>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</si>
  <si>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</si>
  <si>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</si>
  <si>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</si>
  <si>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</si>
  <si>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</si>
  <si>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</si>
  <si>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</si>
  <si>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</si>
  <si>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</si>
  <si>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</si>
  <si>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</si>
  <si>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</si>
  <si>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</si>
  <si>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</si>
  <si>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</si>
  <si>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</si>
  <si>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</si>
  <si>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</si>
  <si>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</si>
  <si>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</si>
  <si>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</si>
  <si>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</si>
  <si>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</si>
  <si>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</si>
  <si>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</si>
  <si>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</si>
  <si>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</si>
  <si>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</si>
  <si>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</si>
  <si>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</si>
  <si>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</si>
  <si>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</si>
  <si>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</si>
  <si>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</si>
  <si>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</si>
  <si>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</si>
  <si>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</si>
  <si>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</si>
  <si>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</si>
  <si>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</si>
  <si>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</si>
  <si>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</si>
  <si>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</si>
  <si>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</si>
  <si>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</si>
  <si>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</si>
  <si>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</si>
  <si>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</si>
  <si>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</si>
  <si>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</si>
  <si>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</si>
  <si>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</si>
  <si>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</si>
  <si>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</si>
  <si>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</si>
  <si>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</si>
  <si>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</si>
  <si>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</si>
  <si>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</si>
  <si>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</si>
  <si>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</si>
  <si>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</si>
  <si>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</si>
  <si>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</si>
  <si>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</si>
  <si>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</si>
  <si>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</si>
  <si>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</si>
  <si>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</si>
  <si>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</si>
  <si>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</si>
  <si>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</si>
  <si>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</si>
  <si>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</si>
  <si>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</si>
  <si>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</si>
  <si>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</si>
  <si>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</si>
  <si>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</si>
  <si>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</si>
  <si>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</si>
  <si>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</si>
  <si>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</si>
  <si>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</si>
  <si>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</si>
  <si>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</si>
  <si>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</si>
  <si>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</si>
  <si>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</si>
  <si>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</si>
  <si>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</si>
  <si>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</si>
  <si>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</si>
  <si>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</si>
  <si>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</si>
  <si>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</si>
  <si>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</si>
  <si>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</si>
  <si>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</si>
  <si>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</si>
  <si>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</si>
  <si>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</si>
  <si>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</si>
  <si>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</si>
  <si>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</si>
  <si>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</si>
  <si>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</si>
  <si>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</si>
  <si>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</si>
  <si>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</si>
  <si>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</si>
  <si>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</si>
  <si>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</si>
  <si>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</si>
  <si>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</si>
  <si>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</si>
  <si>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</si>
  <si>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</si>
  <si>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</si>
  <si>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</si>
  <si>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</si>
  <si>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</si>
  <si>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</si>
  <si>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</si>
  <si>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</si>
  <si>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</si>
  <si>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</si>
  <si>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</si>
  <si>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</si>
  <si>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</si>
  <si>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</si>
  <si>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</si>
  <si>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</si>
  <si>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</si>
  <si>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</si>
  <si>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</si>
  <si>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</si>
  <si>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</si>
  <si>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</si>
  <si>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</si>
  <si>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</si>
  <si>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</si>
  <si>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</si>
  <si>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</si>
  <si>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</si>
  <si>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</si>
  <si>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</si>
  <si>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</si>
  <si>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</si>
  <si>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</si>
  <si>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</si>
  <si>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</si>
  <si>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</si>
  <si>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</si>
  <si>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</si>
  <si>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</si>
  <si>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</si>
  <si>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</si>
  <si>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</si>
  <si>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</si>
  <si>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</si>
  <si>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</si>
  <si>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</si>
  <si>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</si>
  <si>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</si>
  <si>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</si>
  <si>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</si>
  <si>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</si>
  <si>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</si>
  <si>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</si>
  <si>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</si>
  <si>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</si>
  <si>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</si>
  <si>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</si>
  <si>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</si>
  <si>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</si>
  <si>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</si>
  <si>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</si>
  <si>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</si>
  <si>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</si>
  <si>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</si>
  <si>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</si>
  <si>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</si>
  <si>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</si>
  <si>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</si>
  <si>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</si>
  <si>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</si>
  <si>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</si>
  <si>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</si>
  <si>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</si>
  <si>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</si>
  <si>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</si>
  <si>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</si>
  <si>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</si>
  <si>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</si>
  <si>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</si>
  <si>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</si>
  <si>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</si>
  <si>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</si>
  <si>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</si>
  <si>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</si>
  <si>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</si>
  <si>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</si>
  <si>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</si>
  <si>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</si>
  <si>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</si>
  <si>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</si>
  <si>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</si>
  <si>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</si>
  <si>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</si>
  <si>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</si>
  <si>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</si>
  <si>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</si>
  <si>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</si>
  <si>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</si>
  <si>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</si>
  <si>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</si>
  <si>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</si>
  <si>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</si>
  <si>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</si>
  <si>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</si>
  <si>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</si>
  <si>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</si>
  <si>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</si>
  <si>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</si>
  <si>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</si>
  <si>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</si>
  <si>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</si>
  <si>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</si>
  <si>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</si>
  <si>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</si>
  <si>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</si>
  <si>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</si>
  <si>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</si>
  <si>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</si>
  <si>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</si>
  <si>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</si>
  <si>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</si>
  <si>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</si>
  <si>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</si>
  <si>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</si>
  <si>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</si>
  <si>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</si>
  <si>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</si>
  <si>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</si>
  <si>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</si>
  <si>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</si>
  <si>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</si>
  <si>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</si>
  <si>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</si>
  <si>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</si>
  <si>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</si>
  <si>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</si>
  <si>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</si>
  <si>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</si>
  <si>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</si>
  <si>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</si>
  <si>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</si>
  <si>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</si>
  <si>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</si>
  <si>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</si>
  <si>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</si>
  <si>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</si>
  <si>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</si>
  <si>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</si>
  <si>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</si>
  <si>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</si>
  <si>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</si>
  <si>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</si>
  <si>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</si>
  <si>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</si>
  <si>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</si>
  <si>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</si>
  <si>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</si>
  <si>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</si>
  <si>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</si>
  <si>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</si>
  <si>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</si>
  <si>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</si>
  <si>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</si>
  <si>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</si>
  <si>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</si>
  <si>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</si>
  <si>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</si>
  <si>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</si>
  <si>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</si>
  <si>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</si>
  <si>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</si>
  <si>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</si>
  <si>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</si>
  <si>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</si>
  <si>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</si>
  <si>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</si>
  <si>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</si>
  <si>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</si>
  <si>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</si>
  <si>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</si>
  <si>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</si>
  <si>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</si>
  <si>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</si>
  <si>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</si>
  <si>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</si>
  <si>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</si>
  <si>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</si>
  <si>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</si>
  <si>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</si>
  <si>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</si>
  <si>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</si>
  <si>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</si>
  <si>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</si>
  <si>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</si>
  <si>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</si>
  <si>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</si>
  <si>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</si>
  <si>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</si>
  <si>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</si>
  <si>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</si>
  <si>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</si>
  <si>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</si>
  <si>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</si>
  <si>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</si>
  <si>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</si>
  <si>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</si>
  <si>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</si>
  <si>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</si>
  <si>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</si>
  <si>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</si>
  <si>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</si>
  <si>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</si>
  <si>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</si>
  <si>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</si>
  <si>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</si>
  <si>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</si>
  <si>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</si>
  <si>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</si>
  <si>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</si>
  <si>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</si>
  <si>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</si>
  <si>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</si>
  <si>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</si>
  <si>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</si>
  <si>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</si>
  <si>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</si>
  <si>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</si>
  <si>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</si>
  <si>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</si>
  <si>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</si>
  <si>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</si>
  <si>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</si>
  <si>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</si>
  <si>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</si>
  <si>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</si>
  <si>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</si>
  <si>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</si>
  <si>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</si>
  <si>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</si>
  <si>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</si>
  <si>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</si>
  <si>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</si>
  <si>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</si>
  <si>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</si>
  <si>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</si>
  <si>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</si>
  <si>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</si>
  <si>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</si>
  <si>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</si>
  <si>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</si>
  <si>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</si>
  <si>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</si>
  <si>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</si>
  <si>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</si>
  <si>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</si>
  <si>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</si>
  <si>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</si>
  <si>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</si>
  <si>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</si>
  <si>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</si>
  <si>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</si>
  <si>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</si>
  <si>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</si>
  <si>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</si>
  <si>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</si>
  <si>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</si>
  <si>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</si>
  <si>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</si>
  <si>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</si>
  <si>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</si>
  <si>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</si>
  <si>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</si>
  <si>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</si>
  <si>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</si>
  <si>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</si>
  <si>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</si>
  <si>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</si>
  <si>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</si>
  <si>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</si>
  <si>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</si>
  <si>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</si>
  <si>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</si>
  <si>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</si>
  <si>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</si>
  <si>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</si>
  <si>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</si>
  <si>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</si>
  <si>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</si>
  <si>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</si>
  <si>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</si>
  <si>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</si>
  <si>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</si>
  <si>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</si>
  <si>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</si>
  <si>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</si>
  <si>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</si>
  <si>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</si>
  <si>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</si>
  <si>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</si>
  <si>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</si>
  <si>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</si>
  <si>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</si>
  <si>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</si>
  <si>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</si>
  <si>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</si>
  <si>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</si>
  <si>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</si>
  <si>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</si>
  <si>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</si>
  <si>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</si>
  <si>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</si>
  <si>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</si>
  <si>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</si>
  <si>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</si>
  <si>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</si>
  <si>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</si>
  <si>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</si>
  <si>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</si>
  <si>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</si>
  <si>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</si>
  <si>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</si>
  <si>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</si>
  <si>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</si>
  <si>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</si>
  <si>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</si>
  <si>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</si>
  <si>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</si>
  <si>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</si>
  <si>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</si>
  <si>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</si>
  <si>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</si>
  <si>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</si>
  <si>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</si>
  <si>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</si>
  <si>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</si>
  <si>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</si>
  <si>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</si>
  <si>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</si>
  <si>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</si>
  <si>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</si>
  <si>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</si>
  <si>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</si>
  <si>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</si>
  <si>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</si>
  <si>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</si>
  <si>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</si>
  <si>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</si>
  <si>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</si>
  <si>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</si>
  <si>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</si>
  <si>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</si>
  <si>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</si>
  <si>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</si>
  <si>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</si>
  <si>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</si>
  <si>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</si>
  <si>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</si>
  <si>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</si>
  <si>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</si>
  <si>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</si>
  <si>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</si>
  <si>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</si>
  <si>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</si>
  <si>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</si>
  <si>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</si>
  <si>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</si>
  <si>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</si>
  <si>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</si>
  <si>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</si>
  <si>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</si>
  <si>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</si>
  <si>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</si>
  <si>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</si>
  <si>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</si>
  <si>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</si>
  <si>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</si>
  <si>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</si>
  <si>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</si>
  <si>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</si>
  <si>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</si>
  <si>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</si>
  <si>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</si>
  <si>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</si>
  <si>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</si>
  <si>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</si>
  <si>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</si>
  <si>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</si>
  <si>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</si>
  <si>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</si>
  <si>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</si>
  <si>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</si>
  <si>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</si>
  <si>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</si>
  <si>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</si>
  <si>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</si>
  <si>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</si>
  <si>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</si>
  <si>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</si>
  <si>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</si>
  <si>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</si>
  <si>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</si>
  <si>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</si>
  <si>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</si>
  <si>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</si>
  <si>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</si>
  <si>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</si>
  <si>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</si>
  <si>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</si>
  <si>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</si>
  <si>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</si>
  <si>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</si>
  <si>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</si>
  <si>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</si>
  <si>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</si>
  <si>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</si>
  <si>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</si>
  <si>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</si>
  <si>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</si>
  <si>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</si>
  <si>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</si>
  <si>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</si>
  <si>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</si>
  <si>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</si>
  <si>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</si>
  <si>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</si>
  <si>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</si>
  <si>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</si>
  <si>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</si>
  <si>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</si>
  <si>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</si>
  <si>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</si>
  <si>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</si>
  <si>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</si>
  <si>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</si>
  <si>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</si>
  <si>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</si>
  <si>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</si>
  <si>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</si>
  <si>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</si>
  <si>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</si>
  <si>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</si>
  <si>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</si>
  <si>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</si>
  <si>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</si>
  <si>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</si>
  <si>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</si>
  <si>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</si>
  <si>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</si>
  <si>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</si>
  <si>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</si>
  <si>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</si>
  <si>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</si>
  <si>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</si>
  <si>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</si>
  <si>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</si>
  <si>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</si>
  <si>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</si>
  <si>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</si>
  <si>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</si>
  <si>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</si>
  <si>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</si>
  <si>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</si>
  <si>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</si>
  <si>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</si>
  <si>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</si>
  <si>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</si>
  <si>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</si>
  <si>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</si>
  <si>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</si>
  <si>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</si>
  <si>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</si>
  <si>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</si>
  <si>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</si>
  <si>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</si>
  <si>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</si>
  <si>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</si>
  <si>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</si>
  <si>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</si>
  <si>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</si>
  <si>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</si>
  <si>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</si>
  <si>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</si>
  <si>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</si>
  <si>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</si>
  <si>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</si>
  <si>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</si>
  <si>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</si>
  <si>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</si>
  <si>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</si>
  <si>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</si>
  <si>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</si>
  <si>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</si>
  <si>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</si>
  <si>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</si>
  <si>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</si>
  <si>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</si>
  <si>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</si>
  <si>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</si>
  <si>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</si>
  <si>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</si>
  <si>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</si>
  <si>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</si>
  <si>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</si>
  <si>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</si>
  <si>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</si>
  <si>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</si>
  <si>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</si>
  <si>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</si>
  <si>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</si>
  <si>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</si>
  <si>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</si>
  <si>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</si>
  <si>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</si>
  <si>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</si>
  <si>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</si>
  <si>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</si>
  <si>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</si>
  <si>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</si>
  <si>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</si>
  <si>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</si>
  <si>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</si>
  <si>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</si>
  <si>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</si>
  <si>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</si>
  <si>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</si>
  <si>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</si>
  <si>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</si>
  <si>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</si>
  <si>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</si>
  <si>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</si>
  <si>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</si>
  <si>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</si>
  <si>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</si>
  <si>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</si>
  <si>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</si>
  <si>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</si>
  <si>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</si>
  <si>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</si>
  <si>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</si>
  <si>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</si>
  <si>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</si>
  <si>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</si>
  <si>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</si>
  <si>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</si>
  <si>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</si>
  <si>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</si>
  <si>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</si>
  <si>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</si>
  <si>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</si>
  <si>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</si>
  <si>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</si>
  <si>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</si>
  <si>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</si>
  <si>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</si>
  <si>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</si>
  <si>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</si>
  <si>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</si>
  <si>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</si>
  <si>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</si>
  <si>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</si>
  <si>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</si>
  <si>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</si>
  <si>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</si>
  <si>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</si>
  <si>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</si>
  <si>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</si>
  <si>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</si>
  <si>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</si>
  <si>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</si>
  <si>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</si>
  <si>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</si>
  <si>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</si>
  <si>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</si>
  <si>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</si>
  <si>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</si>
  <si>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</si>
  <si>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</si>
  <si>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</si>
  <si>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</si>
  <si>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</si>
  <si>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</si>
  <si>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</si>
  <si>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</si>
  <si>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</si>
  <si>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</si>
  <si>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</si>
  <si>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</si>
  <si>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</si>
  <si>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</si>
  <si>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</si>
  <si>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</si>
  <si>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</si>
  <si>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</si>
  <si>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</si>
  <si>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</si>
  <si>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</si>
  <si>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</si>
  <si>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</si>
  <si>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</si>
  <si>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</si>
  <si>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</si>
  <si>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</si>
  <si>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</si>
  <si>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</si>
  <si>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</si>
  <si>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</si>
  <si>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</si>
  <si>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</si>
  <si>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</si>
  <si>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</si>
  <si>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</si>
  <si>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</si>
  <si>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</si>
  <si>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</si>
  <si>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</si>
  <si>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</si>
  <si>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</si>
  <si>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</si>
  <si>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</si>
  <si>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</si>
  <si>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</si>
  <si>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</si>
  <si>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</si>
  <si>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</si>
  <si>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</si>
  <si>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</si>
  <si>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</si>
  <si>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</si>
  <si>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</si>
  <si>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</si>
  <si>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</si>
  <si>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</si>
  <si>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</si>
  <si>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</si>
  <si>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</si>
  <si>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</si>
  <si>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</si>
  <si>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</si>
  <si>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</si>
  <si>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</si>
  <si>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</si>
  <si>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</si>
  <si>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</si>
  <si>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</si>
  <si>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</si>
  <si>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</si>
  <si>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</si>
  <si>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</si>
  <si>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</si>
  <si>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</si>
  <si>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</si>
  <si>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</si>
  <si>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</si>
  <si>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</si>
  <si>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</si>
  <si>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</si>
  <si>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</si>
  <si>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</si>
  <si>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</si>
  <si>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</si>
  <si>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</si>
  <si>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</si>
  <si>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</si>
  <si>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</si>
  <si>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</si>
  <si>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</si>
  <si>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</si>
  <si>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</si>
  <si>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</si>
  <si>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</si>
  <si>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</si>
  <si>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</si>
  <si>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</si>
  <si>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</si>
  <si>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</si>
  <si>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</si>
  <si>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</si>
  <si>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</si>
  <si>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</si>
  <si>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</si>
  <si>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</si>
  <si>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</si>
  <si>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</si>
  <si>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</si>
  <si>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</si>
  <si>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</si>
  <si>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</si>
  <si>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</si>
  <si>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</si>
  <si>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</si>
  <si>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</si>
  <si>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</si>
  <si>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</si>
  <si>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</si>
  <si>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</si>
  <si>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</si>
  <si>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</si>
  <si>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</si>
  <si>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</si>
  <si>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</si>
  <si>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</si>
  <si>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</si>
  <si>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</si>
  <si>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</si>
  <si>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</si>
  <si>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</si>
  <si>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</si>
  <si>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</si>
  <si>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</si>
  <si>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</si>
  <si>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</si>
  <si>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</si>
  <si>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</si>
  <si>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</si>
  <si>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</si>
  <si>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</si>
  <si>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</si>
  <si>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</si>
  <si>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</si>
  <si>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</si>
  <si>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</si>
  <si>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</si>
  <si>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</si>
  <si>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</si>
  <si>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</si>
  <si>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</si>
  <si>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</si>
  <si>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</si>
  <si>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</si>
  <si>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</si>
  <si>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</si>
  <si>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</si>
  <si>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</si>
  <si>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</si>
  <si>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</si>
  <si>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</si>
  <si>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</si>
  <si>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</si>
  <si>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</si>
  <si>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</si>
  <si>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</si>
  <si>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</si>
  <si>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</si>
  <si>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</si>
  <si>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</si>
  <si>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</si>
  <si>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</si>
  <si>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</si>
  <si>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</si>
  <si>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</si>
  <si>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</si>
  <si>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</si>
  <si>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</si>
  <si>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</si>
  <si>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</si>
  <si>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</si>
  <si>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</si>
  <si>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</si>
  <si>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</si>
  <si>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</si>
  <si>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</si>
  <si>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</si>
  <si>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</si>
  <si>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</si>
  <si>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</si>
  <si>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</si>
  <si>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</si>
  <si>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</si>
  <si>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</si>
  <si>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</si>
  <si>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</si>
  <si>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</si>
  <si>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</si>
  <si>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</si>
  <si>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</si>
  <si>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</si>
  <si>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</si>
  <si>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</si>
  <si>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</si>
  <si>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</si>
  <si>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</si>
  <si>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</si>
  <si>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</si>
  <si>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</si>
  <si>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</si>
  <si>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</si>
  <si>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</si>
  <si>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</si>
  <si>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</si>
  <si>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</si>
  <si>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</si>
  <si>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</si>
  <si>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</si>
  <si>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</si>
  <si>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</si>
  <si>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</si>
  <si>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</si>
  <si>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</si>
  <si>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</si>
  <si>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</si>
  <si>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</si>
  <si>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</si>
  <si>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</si>
  <si>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</si>
  <si>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</si>
  <si>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</si>
  <si>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</si>
  <si>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</si>
  <si>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</si>
  <si>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</si>
  <si>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</si>
  <si>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</si>
  <si>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</si>
  <si>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</si>
  <si>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</si>
  <si>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</si>
  <si>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</si>
  <si>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</si>
  <si>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</si>
  <si>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</si>
  <si>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</si>
  <si>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</si>
  <si>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</si>
  <si>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</si>
  <si>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</si>
  <si>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</si>
  <si>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</si>
  <si>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</si>
  <si>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</si>
  <si>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</si>
  <si>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</si>
  <si>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</si>
  <si>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</si>
  <si>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</si>
  <si>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</si>
  <si>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</si>
  <si>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</si>
  <si>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</si>
  <si>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</si>
  <si>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</si>
  <si>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</si>
  <si>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</si>
  <si>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</si>
  <si>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</si>
  <si>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</si>
  <si>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</si>
  <si>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</si>
  <si>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</si>
  <si>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</si>
  <si>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</si>
  <si>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</si>
  <si>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</si>
  <si>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</si>
  <si>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</si>
  <si>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</si>
  <si>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</si>
  <si>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</si>
  <si>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</si>
  <si>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</si>
  <si>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</si>
  <si>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</si>
  <si>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</si>
  <si>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</si>
  <si>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</si>
  <si>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</si>
  <si>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</si>
  <si>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</si>
  <si>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</si>
  <si>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</si>
  <si>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</si>
  <si>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</si>
  <si>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</si>
  <si>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</si>
  <si>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</si>
  <si>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</si>
  <si>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</si>
  <si>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</si>
  <si>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</si>
  <si>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</si>
  <si>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</si>
  <si>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</si>
  <si>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</si>
  <si>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</si>
  <si>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</si>
  <si>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</si>
  <si>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</si>
  <si>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</si>
  <si>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</si>
  <si>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</si>
  <si>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</si>
  <si>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</si>
  <si>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</si>
  <si>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</si>
  <si>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</si>
  <si>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</si>
  <si>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</si>
  <si>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</si>
  <si>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</si>
  <si>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</si>
  <si>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</si>
  <si>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</si>
  <si>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</si>
  <si>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</si>
  <si>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</si>
  <si>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</si>
  <si>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</si>
  <si>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</si>
  <si>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</si>
  <si>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</si>
  <si>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</si>
  <si>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</si>
  <si>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</si>
  <si>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</si>
  <si>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</si>
  <si>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</si>
  <si>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</si>
  <si>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</si>
  <si>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</si>
  <si>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</si>
  <si>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</si>
  <si>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</si>
  <si>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</si>
  <si>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</si>
  <si>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</si>
  <si>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</si>
  <si>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</si>
  <si>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</si>
  <si>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</si>
  <si>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</si>
  <si>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</si>
  <si>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</si>
  <si>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</si>
  <si>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</si>
  <si>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</si>
  <si>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</si>
  <si>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</si>
  <si>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</si>
  <si>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</si>
  <si>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</si>
  <si>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</si>
  <si>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</si>
  <si>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</si>
  <si>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</si>
  <si>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</si>
  <si>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</si>
  <si>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</si>
  <si>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</si>
  <si>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</si>
  <si>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</si>
  <si>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</si>
  <si>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</si>
  <si>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</si>
  <si>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</si>
  <si>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</si>
  <si>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</si>
  <si>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</si>
  <si>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</si>
  <si>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</si>
  <si>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</si>
  <si>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</si>
  <si>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</si>
  <si>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</si>
  <si>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</si>
  <si>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</si>
  <si>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</si>
  <si>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</si>
  <si>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</si>
  <si>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</si>
  <si>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</si>
  <si>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</si>
  <si>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</si>
  <si>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</si>
  <si>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</si>
  <si>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</si>
  <si>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</si>
  <si>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</si>
  <si>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</si>
  <si>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</si>
  <si>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</si>
  <si>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</si>
  <si>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</si>
  <si>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</si>
  <si>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</si>
  <si>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</si>
  <si>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</si>
  <si>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</si>
  <si>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</si>
  <si>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</si>
  <si>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</si>
  <si>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</si>
  <si>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</si>
  <si>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</si>
  <si>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</si>
  <si>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</si>
  <si>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</si>
  <si>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</si>
  <si>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</si>
  <si>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</si>
  <si>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</si>
  <si>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</si>
  <si>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</si>
  <si>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</si>
  <si>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</si>
  <si>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</si>
  <si>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</si>
  <si>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</si>
  <si>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</si>
  <si>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</si>
  <si>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</si>
  <si>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</si>
  <si>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</si>
  <si>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</si>
  <si>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</si>
  <si>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</si>
  <si>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</si>
  <si>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</si>
  <si>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</si>
  <si>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</si>
  <si>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</si>
  <si>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</si>
  <si>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</si>
  <si>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</si>
  <si>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</si>
  <si>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</si>
  <si>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</si>
  <si>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</si>
  <si>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</si>
  <si>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</si>
  <si>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</si>
  <si>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</si>
  <si>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</si>
  <si>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</si>
  <si>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</si>
  <si>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</si>
  <si>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</si>
  <si>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</si>
  <si>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</si>
  <si>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</si>
  <si>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</si>
  <si>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</si>
  <si>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</si>
  <si>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</si>
  <si>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</si>
  <si>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</si>
  <si>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</si>
  <si>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</si>
  <si>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</si>
  <si>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</si>
  <si>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</si>
  <si>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</si>
  <si>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</si>
  <si>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</si>
  <si>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</si>
  <si>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</si>
  <si>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</si>
  <si>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</si>
  <si>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</si>
  <si>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</si>
  <si>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</si>
  <si>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</si>
  <si>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</si>
  <si>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</si>
  <si>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</si>
  <si>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</si>
  <si>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</si>
  <si>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</si>
  <si>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</si>
  <si>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</si>
  <si>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</si>
  <si>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</si>
  <si>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</si>
  <si>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</si>
  <si>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</si>
  <si>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</si>
  <si>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</si>
  <si>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</si>
  <si>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</si>
  <si>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</si>
  <si>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</si>
  <si>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</si>
  <si>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</si>
  <si>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</si>
  <si>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</si>
  <si>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</si>
  <si>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</si>
  <si>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</si>
  <si>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</si>
  <si>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</si>
  <si>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</si>
  <si>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</si>
  <si>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</si>
  <si>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</si>
  <si>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</si>
  <si>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</si>
  <si>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</si>
  <si>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</si>
  <si>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</si>
  <si>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</si>
  <si>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</si>
  <si>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</si>
  <si>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</si>
  <si>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</si>
  <si>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</si>
  <si>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</si>
  <si>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</si>
  <si>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</si>
  <si>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</si>
  <si>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</si>
  <si>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</si>
  <si>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</si>
  <si>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</si>
  <si>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</si>
  <si>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</si>
  <si>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</si>
  <si>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</si>
  <si>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</si>
  <si>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</si>
  <si>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</si>
  <si>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</si>
  <si>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</si>
  <si>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</si>
  <si>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</si>
  <si>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</si>
  <si>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</si>
  <si>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</si>
  <si>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</si>
  <si>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</si>
  <si>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</si>
  <si>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</si>
  <si>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</si>
  <si>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</si>
  <si>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</si>
  <si>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</si>
  <si>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</si>
  <si>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</si>
  <si>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</si>
  <si>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</si>
  <si>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</si>
  <si>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</si>
  <si>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</si>
  <si>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</si>
  <si>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</si>
  <si>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</si>
  <si>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</si>
  <si>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</si>
  <si>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</si>
  <si>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</si>
  <si>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</si>
  <si>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</si>
  <si>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</si>
  <si>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</si>
  <si>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</si>
  <si>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</si>
  <si>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</si>
  <si>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</si>
  <si>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</si>
  <si>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</si>
  <si>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</si>
  <si>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</si>
  <si>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</si>
  <si>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</si>
  <si>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</si>
  <si>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</si>
  <si>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</si>
  <si>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</si>
  <si>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</si>
  <si>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</si>
  <si>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</si>
  <si>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</si>
  <si>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</si>
  <si>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</si>
  <si>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</si>
  <si>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</si>
  <si>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</si>
  <si>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</si>
  <si>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</si>
  <si>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</si>
  <si>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</si>
  <si>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</si>
  <si>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</si>
  <si>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</si>
  <si>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</si>
  <si>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</si>
  <si>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</si>
  <si>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</si>
  <si>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</si>
  <si>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</si>
  <si>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</si>
  <si>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</si>
  <si>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</si>
  <si>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</si>
  <si>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</si>
  <si>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</si>
  <si>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</si>
  <si>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</si>
  <si>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</si>
  <si>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</si>
  <si>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</si>
  <si>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</si>
  <si>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</si>
  <si>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</si>
  <si>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</si>
  <si>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</si>
  <si>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</si>
  <si>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</si>
  <si>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</si>
  <si>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</si>
  <si>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</si>
  <si>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</si>
  <si>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</si>
  <si>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</si>
  <si>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</si>
  <si>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</si>
  <si>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</si>
  <si>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</si>
  <si>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</si>
  <si>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</si>
  <si>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</si>
  <si>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</si>
  <si>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</si>
  <si>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</si>
  <si>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</si>
  <si>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</si>
  <si>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</si>
  <si>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</si>
  <si>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</si>
  <si>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</si>
  <si>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</si>
  <si>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</si>
  <si>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</si>
  <si>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</si>
  <si>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</si>
  <si>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</si>
  <si>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</si>
  <si>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</si>
  <si>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</si>
  <si>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</si>
  <si>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</si>
  <si>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</si>
  <si>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</si>
  <si>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</si>
  <si>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</si>
  <si>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</si>
  <si>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</si>
  <si>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</si>
  <si>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</si>
  <si>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</si>
  <si>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</si>
  <si>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</si>
  <si>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</si>
  <si>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</si>
  <si>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</si>
  <si>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</si>
  <si>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</si>
  <si>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</si>
  <si>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</si>
  <si>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</si>
  <si>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</si>
  <si>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</si>
  <si>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</si>
  <si>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</si>
  <si>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</si>
  <si>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</si>
  <si>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</si>
  <si>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</si>
  <si>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</si>
  <si>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</si>
  <si>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</si>
  <si>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</si>
  <si>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</si>
  <si>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</si>
  <si>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</si>
  <si>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</si>
  <si>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</si>
  <si>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</si>
  <si>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</si>
  <si>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</si>
  <si>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</si>
  <si>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</si>
  <si>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</si>
  <si>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</si>
  <si>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</si>
  <si>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</si>
  <si>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</si>
  <si>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</si>
  <si>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</si>
  <si>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</si>
  <si>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</si>
  <si>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</si>
  <si>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</si>
  <si>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</si>
  <si>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</si>
  <si>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</si>
  <si>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</si>
  <si>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</si>
  <si>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</si>
  <si>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</si>
  <si>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</si>
  <si>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</si>
  <si>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</si>
  <si>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</si>
  <si>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</si>
  <si>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</si>
  <si>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</si>
  <si>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</si>
  <si>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</si>
  <si>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</si>
  <si>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</si>
  <si>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</si>
  <si>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</si>
  <si>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</si>
  <si>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</si>
  <si>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</si>
  <si>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</si>
  <si>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</si>
  <si>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</si>
  <si>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</si>
  <si>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</si>
  <si>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</si>
  <si>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</si>
  <si>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</si>
  <si>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</si>
  <si>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</si>
  <si>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</si>
  <si>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</si>
  <si>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</si>
  <si>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</si>
  <si>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</si>
  <si>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</si>
  <si>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</si>
  <si>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</si>
  <si>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</si>
  <si>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</si>
  <si>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</si>
  <si>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</si>
  <si>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</si>
  <si>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</si>
  <si>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</si>
  <si>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</si>
  <si>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</si>
  <si>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</si>
  <si>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</si>
  <si>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</si>
  <si>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</si>
  <si>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</si>
  <si>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</si>
  <si>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</si>
  <si>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</si>
  <si>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</si>
  <si>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</si>
  <si>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</si>
  <si>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</si>
  <si>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</si>
  <si>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</si>
  <si>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</si>
  <si>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</si>
  <si>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</si>
  <si>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</si>
  <si>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</si>
  <si>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</si>
  <si>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</si>
  <si>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</si>
  <si>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</si>
  <si>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</si>
  <si>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</si>
  <si>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</si>
  <si>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</si>
  <si>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</si>
  <si>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</si>
  <si>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</si>
  <si>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</si>
  <si>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</si>
  <si>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</si>
  <si>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</si>
  <si>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</si>
  <si>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</si>
  <si>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</si>
  <si>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</si>
  <si>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</si>
  <si>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</si>
  <si>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</si>
  <si>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</si>
  <si>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</si>
  <si>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</si>
  <si>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</si>
  <si>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</si>
  <si>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</si>
  <si>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</si>
  <si>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</si>
  <si>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</si>
  <si>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</si>
  <si>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</si>
  <si>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</si>
  <si>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</si>
  <si>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</si>
  <si>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</si>
  <si>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</si>
  <si>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</si>
  <si>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</si>
  <si>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</si>
  <si>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</si>
  <si>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</si>
  <si>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</si>
  <si>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</si>
  <si>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</si>
  <si>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</si>
  <si>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</si>
  <si>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</si>
  <si>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</si>
  <si>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</si>
  <si>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</si>
  <si>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</si>
  <si>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</si>
  <si>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</si>
  <si>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</si>
  <si>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</si>
  <si>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</si>
  <si>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</si>
  <si>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</si>
  <si>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</si>
  <si>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</si>
  <si>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</si>
  <si>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</si>
  <si>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</si>
  <si>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</si>
  <si>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</si>
  <si>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</si>
  <si>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</si>
  <si>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</si>
  <si>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</si>
  <si>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</si>
  <si>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</si>
  <si>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</si>
  <si>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</si>
  <si>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</si>
  <si>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</si>
  <si>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</si>
  <si>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</si>
  <si>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</si>
  <si>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</si>
  <si>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</si>
  <si>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</si>
  <si>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</si>
  <si>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</si>
  <si>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</si>
  <si>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</si>
  <si>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</si>
  <si>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</si>
  <si>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</si>
  <si>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</si>
  <si>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</si>
  <si>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</si>
  <si>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</si>
  <si>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</si>
  <si>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</si>
  <si>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</si>
  <si>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</si>
  <si>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</si>
  <si>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</si>
  <si>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</si>
  <si>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</si>
  <si>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</si>
  <si>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</si>
  <si>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</si>
  <si>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</si>
  <si>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</si>
  <si>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</si>
  <si>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</si>
  <si>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</si>
  <si>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</si>
  <si>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</si>
  <si>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</si>
  <si>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</si>
  <si>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</si>
  <si>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</si>
  <si>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</si>
  <si>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</si>
  <si>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</si>
  <si>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</si>
  <si>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</si>
  <si>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</si>
  <si>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</si>
  <si>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</si>
  <si>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</si>
  <si>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</si>
  <si>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</si>
  <si>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</si>
  <si>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</si>
  <si>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</si>
  <si>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</si>
  <si>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</si>
  <si>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</si>
  <si>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</si>
  <si>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</si>
  <si>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</si>
  <si>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</si>
  <si>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</si>
  <si>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</si>
  <si>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</si>
  <si>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</si>
  <si>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</si>
  <si>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</si>
  <si>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</si>
  <si>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</si>
  <si>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</si>
  <si>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</si>
  <si>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</si>
  <si>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</si>
  <si>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</si>
  <si>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</si>
  <si>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</si>
  <si>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</si>
  <si>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</si>
  <si>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</si>
  <si>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</si>
  <si>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</si>
  <si>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</si>
  <si>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</si>
  <si>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</si>
  <si>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</si>
  <si>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</si>
  <si>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</si>
  <si>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</si>
  <si>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</si>
  <si>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</si>
  <si>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</si>
  <si>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</si>
  <si>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</si>
  <si>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</si>
  <si>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</si>
  <si>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</si>
  <si>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</si>
  <si>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</si>
  <si>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</si>
  <si>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</si>
  <si>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</si>
  <si>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</si>
  <si>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</si>
  <si>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</si>
  <si>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</si>
  <si>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</si>
  <si>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</si>
  <si>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</si>
  <si>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</si>
  <si>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</si>
  <si>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</si>
  <si>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</si>
  <si>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</si>
  <si>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</si>
  <si>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</si>
  <si>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</si>
  <si>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</si>
  <si>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</si>
  <si>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</si>
  <si>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</si>
  <si>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</si>
  <si>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</si>
  <si>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</si>
  <si>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</si>
  <si>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</si>
  <si>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</si>
  <si>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</si>
  <si>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</si>
  <si>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</si>
  <si>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</si>
  <si>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</si>
  <si>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</si>
  <si>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</si>
  <si>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</si>
  <si>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</si>
  <si>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</si>
  <si>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</si>
  <si>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</si>
  <si>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</si>
  <si>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</si>
  <si>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</si>
  <si>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</si>
  <si>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</si>
  <si>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</si>
  <si>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</si>
  <si>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</si>
  <si>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</si>
  <si>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</si>
  <si>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</si>
  <si>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</si>
  <si>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</si>
  <si>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</si>
  <si>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</si>
  <si>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</si>
  <si>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</si>
  <si>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</si>
  <si>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</si>
  <si>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</si>
  <si>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</si>
  <si>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</si>
  <si>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</si>
  <si>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</si>
  <si>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</si>
  <si>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</si>
  <si>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</si>
  <si>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</si>
  <si>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</si>
  <si>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</si>
  <si>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</si>
  <si>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</si>
  <si>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</si>
  <si>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</si>
  <si>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</si>
  <si>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</si>
  <si>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</si>
  <si>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</si>
  <si>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</si>
  <si>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</si>
  <si>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</si>
  <si>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</si>
  <si>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</si>
  <si>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</si>
  <si>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</si>
  <si>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</si>
  <si>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</si>
  <si>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</si>
  <si>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</si>
  <si>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</si>
  <si>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</si>
  <si>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</si>
  <si>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</si>
  <si>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</si>
  <si>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</si>
  <si>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</si>
  <si>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</si>
  <si>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</si>
  <si>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</si>
  <si>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</si>
  <si>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</si>
  <si>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</si>
  <si>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</si>
  <si>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</si>
  <si>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</si>
  <si>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</si>
  <si>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</si>
  <si>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</si>
  <si>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</si>
  <si>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</si>
  <si>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</si>
  <si>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</si>
  <si>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</si>
  <si>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</si>
  <si>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</si>
  <si>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</si>
  <si>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</si>
  <si>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</si>
  <si>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</si>
  <si>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</si>
  <si>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</si>
  <si>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</si>
  <si>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</si>
  <si>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</si>
  <si>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</si>
  <si>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</si>
  <si>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</si>
  <si>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</si>
  <si>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</si>
  <si>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</si>
  <si>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</si>
  <si>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</si>
  <si>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</si>
  <si>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</si>
  <si>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</si>
  <si>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</si>
  <si>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</si>
  <si>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</si>
  <si>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</si>
  <si>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</si>
  <si>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</si>
  <si>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</si>
  <si>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</si>
  <si>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</si>
  <si>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</si>
  <si>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</si>
  <si>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</si>
  <si>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</si>
  <si>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</si>
  <si>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</si>
  <si>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</si>
  <si>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</si>
  <si>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</si>
  <si>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</si>
  <si>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</si>
  <si>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</si>
  <si>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</si>
  <si>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</si>
  <si>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</si>
  <si>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</si>
  <si>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</si>
  <si>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</si>
  <si>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</si>
  <si>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</si>
  <si>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</si>
  <si>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</si>
  <si>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</si>
  <si>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</si>
  <si>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</si>
  <si>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</si>
  <si>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</si>
  <si>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</si>
  <si>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</si>
  <si>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</si>
  <si>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</si>
  <si>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</si>
  <si>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</si>
  <si>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</si>
  <si>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</si>
  <si>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</si>
  <si>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</si>
  <si>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</si>
  <si>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</si>
  <si>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</si>
  <si>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</si>
  <si>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</si>
  <si>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</si>
  <si>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</si>
  <si>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</si>
  <si>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</si>
  <si>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</si>
  <si>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</si>
  <si>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</si>
  <si>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</si>
  <si>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</si>
  <si>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</si>
  <si>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</si>
  <si>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</si>
  <si>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</si>
  <si>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</si>
  <si>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</si>
  <si>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</si>
  <si>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</si>
  <si>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</si>
  <si>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</si>
  <si>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</si>
  <si>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</si>
  <si>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</si>
  <si>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</si>
  <si>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</si>
  <si>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</si>
  <si>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</si>
  <si>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</si>
  <si>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</si>
  <si>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</si>
  <si>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</si>
  <si>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</si>
  <si>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</si>
  <si>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</si>
  <si>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</si>
  <si>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</si>
  <si>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</si>
  <si>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</si>
  <si>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</si>
  <si>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</si>
  <si>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</si>
  <si>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</si>
  <si>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</si>
  <si>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</si>
  <si>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</si>
  <si>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</si>
  <si>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</si>
  <si>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</si>
  <si>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</si>
  <si>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</si>
  <si>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</si>
  <si>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</si>
  <si>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</si>
  <si>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</si>
  <si>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</si>
  <si>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</si>
  <si>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</si>
  <si>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</si>
  <si>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</si>
  <si>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</si>
  <si>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</si>
  <si>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</si>
  <si>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</si>
  <si>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</si>
  <si>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</si>
  <si>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</si>
  <si>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</si>
  <si>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</si>
  <si>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</si>
  <si>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</si>
  <si>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</si>
  <si>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</si>
  <si>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</si>
  <si>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</si>
  <si>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</si>
  <si>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</si>
  <si>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</si>
  <si>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</si>
  <si>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</si>
  <si>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</si>
  <si>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</si>
  <si>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</si>
  <si>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</si>
  <si>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</si>
  <si>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</si>
  <si>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</si>
  <si>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</si>
  <si>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</si>
  <si>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</si>
  <si>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</si>
  <si>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</si>
  <si>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</si>
  <si>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</si>
  <si>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</si>
  <si>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</si>
  <si>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</si>
  <si>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</si>
  <si>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</si>
  <si>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</si>
  <si>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</si>
  <si>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</si>
  <si>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</si>
  <si>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</si>
  <si>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</si>
  <si>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</si>
  <si>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</si>
  <si>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</si>
  <si>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</si>
  <si>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</si>
  <si>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</si>
  <si>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</si>
  <si>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</si>
  <si>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</si>
  <si>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</si>
  <si>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</si>
  <si>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</si>
  <si>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</si>
  <si>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</si>
  <si>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</si>
  <si>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</si>
  <si>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</si>
  <si>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</si>
  <si>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</si>
  <si>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</si>
  <si>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</si>
  <si>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</si>
  <si>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</si>
  <si>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</si>
  <si>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</si>
  <si>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</si>
  <si>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</si>
  <si>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</si>
  <si>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</si>
  <si>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</si>
  <si>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</si>
  <si>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</si>
  <si>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</si>
  <si>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</si>
  <si>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</si>
  <si>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</si>
  <si>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</si>
  <si>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</si>
  <si>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</si>
  <si>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</si>
  <si>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</si>
  <si>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</si>
  <si>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</si>
  <si>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</si>
  <si>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</si>
  <si>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</si>
  <si>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</si>
  <si>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</si>
  <si>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</si>
  <si>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</si>
  <si>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</si>
  <si>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</si>
  <si>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</si>
  <si>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</si>
  <si>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</si>
  <si>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</si>
  <si>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</si>
  <si>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</si>
  <si>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</si>
  <si>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</si>
  <si>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</si>
  <si>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</si>
  <si>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</si>
  <si>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</si>
  <si>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</si>
  <si>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</si>
  <si>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</si>
  <si>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</si>
  <si>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</si>
  <si>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</si>
  <si>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</si>
  <si>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</si>
  <si>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</si>
  <si>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</si>
  <si>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</si>
  <si>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</si>
  <si>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</si>
  <si>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</si>
  <si>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</si>
  <si>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</si>
  <si>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</si>
  <si>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</si>
  <si>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</si>
  <si>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</si>
  <si>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</si>
  <si>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</si>
  <si>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</si>
  <si>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</si>
  <si>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</si>
  <si>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</si>
  <si>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</si>
  <si>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</si>
  <si>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</si>
  <si>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</si>
  <si>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</si>
  <si>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</si>
  <si>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</si>
  <si>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</si>
  <si>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</si>
  <si>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</si>
  <si>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</si>
  <si>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</si>
  <si>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</si>
  <si>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</si>
  <si>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</si>
  <si>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</si>
  <si>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</si>
  <si>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</si>
  <si>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</si>
  <si>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</si>
  <si>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</si>
  <si>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</si>
  <si>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</si>
  <si>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</si>
  <si>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</si>
  <si>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</si>
  <si>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</si>
  <si>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</si>
  <si>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</si>
  <si>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</si>
  <si>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</si>
  <si>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</si>
  <si>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</si>
  <si>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</si>
  <si>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</si>
  <si>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</si>
  <si>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</si>
  <si>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</si>
  <si>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</si>
  <si>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</si>
  <si>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</si>
  <si>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</si>
  <si>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</si>
  <si>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</si>
  <si>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</si>
  <si>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</si>
  <si>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</si>
  <si>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</si>
  <si>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</si>
  <si>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</si>
  <si>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</si>
  <si>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</si>
  <si>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</si>
  <si>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</si>
  <si>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</si>
  <si>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</si>
  <si>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</si>
  <si>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</si>
  <si>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</si>
  <si>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</si>
  <si>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</si>
  <si>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</si>
  <si>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</si>
  <si>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</si>
  <si>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</si>
  <si>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</si>
  <si>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</si>
  <si>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</si>
  <si>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</si>
  <si>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</si>
  <si>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</si>
  <si>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</si>
  <si>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</si>
  <si>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</si>
  <si>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</si>
  <si>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</si>
  <si>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</si>
  <si>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</si>
  <si>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</si>
  <si>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</si>
  <si>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</si>
  <si>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</si>
  <si>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</si>
  <si>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</si>
  <si>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</si>
  <si>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</si>
  <si>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</si>
  <si>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</si>
  <si>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</si>
  <si>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</si>
  <si>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</si>
  <si>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</si>
  <si>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</si>
  <si>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</si>
  <si>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</si>
  <si>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</si>
  <si>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</si>
  <si>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</si>
  <si>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</si>
  <si>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</si>
  <si>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</si>
  <si>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</si>
  <si>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</si>
  <si>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</si>
  <si>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</si>
  <si>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</si>
  <si>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</si>
  <si>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</si>
  <si>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</si>
  <si>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</si>
  <si>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</si>
  <si>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</si>
  <si>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</si>
  <si>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</si>
  <si>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</si>
  <si>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</si>
  <si>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</si>
  <si>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</si>
  <si>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</si>
  <si>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</si>
  <si>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</si>
  <si>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</si>
  <si>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</si>
  <si>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</si>
  <si>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</si>
  <si>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</si>
  <si>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</si>
  <si>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</si>
  <si>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</si>
  <si>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</si>
  <si>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</si>
  <si>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</si>
  <si>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</si>
  <si>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</si>
  <si>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</si>
  <si>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</si>
  <si>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</si>
  <si>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</si>
  <si>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</si>
  <si>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</si>
  <si>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</si>
  <si>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</si>
  <si>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</si>
  <si>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</si>
  <si>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</si>
  <si>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</si>
  <si>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</si>
  <si>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</si>
  <si>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</si>
  <si>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</si>
  <si>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</si>
  <si>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</si>
  <si>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</si>
  <si>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</si>
  <si>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</si>
  <si>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</si>
  <si>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</si>
  <si>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</si>
  <si>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</si>
  <si>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</si>
  <si>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</si>
  <si>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</si>
  <si>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</si>
  <si>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</si>
  <si>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</si>
  <si>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</si>
  <si>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</si>
  <si>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</si>
  <si>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</si>
  <si>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</si>
  <si>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</si>
  <si>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</si>
  <si>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</si>
  <si>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</si>
  <si>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</si>
  <si>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</si>
  <si>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</si>
  <si>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</si>
  <si>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</si>
  <si>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</si>
  <si>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</si>
  <si>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</si>
  <si>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</si>
  <si>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</si>
  <si>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</si>
  <si>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</si>
  <si>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</si>
  <si>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</si>
  <si>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</si>
  <si>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</si>
  <si>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</si>
  <si>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</si>
  <si>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</si>
  <si>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</si>
  <si>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</si>
  <si>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</si>
  <si>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</si>
  <si>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</si>
  <si>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</si>
  <si>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</si>
  <si>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</si>
  <si>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</si>
  <si>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</si>
  <si>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</si>
  <si>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</si>
  <si>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</si>
  <si>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</si>
  <si>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</si>
  <si>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</si>
  <si>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</si>
  <si>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</si>
  <si>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</si>
  <si>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</si>
  <si>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</si>
  <si>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</si>
  <si>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</si>
  <si>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</si>
  <si>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</si>
  <si>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</si>
  <si>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</si>
  <si>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</si>
  <si>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</si>
  <si>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</si>
  <si>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</si>
  <si>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</si>
  <si>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</si>
  <si>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</si>
  <si>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</si>
  <si>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</si>
  <si>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</si>
  <si>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</si>
  <si>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</si>
  <si>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</si>
  <si>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</si>
  <si>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</si>
  <si>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</si>
  <si>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</si>
  <si>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</si>
  <si>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</si>
  <si>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</si>
  <si>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</si>
  <si>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</si>
  <si>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</si>
  <si>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</si>
  <si>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</si>
  <si>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</si>
  <si>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</si>
  <si>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</si>
  <si>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</si>
  <si>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</si>
  <si>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</si>
  <si>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</si>
  <si>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</si>
  <si>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</si>
  <si>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</si>
  <si>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</si>
  <si>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</si>
  <si>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</si>
  <si>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</si>
  <si>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</si>
  <si>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</si>
  <si>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</si>
  <si>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</si>
  <si>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</si>
  <si>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</si>
  <si>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</si>
  <si>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</si>
  <si>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</si>
  <si>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</si>
  <si>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</si>
  <si>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</si>
  <si>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</si>
  <si>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</si>
  <si>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</si>
  <si>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</si>
  <si>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</si>
  <si>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</si>
  <si>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</si>
  <si>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</si>
  <si>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</si>
  <si>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</si>
  <si>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</si>
  <si>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</si>
  <si>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</si>
  <si>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</si>
  <si>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</si>
  <si>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</si>
  <si>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</si>
  <si>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</si>
  <si>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</si>
  <si>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</si>
  <si>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</si>
  <si>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</si>
  <si>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</si>
  <si>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</si>
  <si>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</si>
  <si>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</si>
  <si>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</si>
  <si>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</si>
  <si>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</si>
  <si>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</si>
  <si>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</si>
  <si>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</si>
  <si>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</si>
  <si>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</si>
  <si>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</si>
  <si>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</si>
  <si>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</si>
  <si>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</si>
  <si>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</si>
  <si>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</si>
  <si>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</si>
  <si>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</si>
  <si>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</si>
  <si>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</si>
  <si>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</si>
  <si>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</si>
  <si>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</si>
  <si>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</si>
  <si>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</si>
  <si>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</si>
  <si>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</si>
  <si>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</si>
  <si>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</si>
  <si>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</si>
  <si>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</si>
  <si>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</si>
  <si>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</si>
  <si>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</si>
  <si>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</si>
  <si>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</si>
  <si>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</si>
  <si>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</si>
  <si>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</si>
  <si>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</si>
  <si>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</si>
  <si>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</si>
  <si>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</si>
  <si>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</si>
  <si>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</si>
  <si>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</si>
  <si>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</si>
  <si>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</si>
  <si>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</si>
  <si>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</si>
  <si>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</si>
  <si>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</si>
  <si>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</si>
  <si>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</si>
  <si>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</si>
  <si>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</si>
  <si>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</si>
  <si>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</si>
  <si>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</si>
  <si>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</si>
  <si>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</si>
  <si>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</si>
  <si>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</si>
  <si>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</si>
  <si>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</si>
  <si>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</si>
  <si>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</si>
  <si>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</si>
  <si>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</si>
  <si>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</si>
  <si>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</si>
  <si>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</si>
  <si>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</si>
  <si>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</si>
  <si>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</si>
  <si>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</si>
  <si>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</si>
  <si>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</si>
  <si>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</si>
  <si>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</si>
  <si>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</si>
  <si>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</si>
  <si>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</si>
  <si>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</si>
  <si>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</si>
  <si>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</si>
  <si>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</si>
  <si>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</si>
  <si>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</si>
  <si>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</si>
  <si>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</si>
  <si>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</si>
  <si>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</si>
  <si>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</si>
  <si>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Hollister Investment Group, LP</t>
  </si>
  <si>
    <t>City of Hollister - Redevelopment Program</t>
  </si>
  <si>
    <t>Willa Aviera</t>
  </si>
  <si>
    <t>RDA Manager</t>
  </si>
  <si>
    <t>375 Fifth Street</t>
  </si>
  <si>
    <t>Hollister</t>
  </si>
  <si>
    <t>831-636-4386</t>
  </si>
  <si>
    <t>831-636-4364</t>
  </si>
  <si>
    <t>citymanager@holliser.ca.gov</t>
  </si>
  <si>
    <t>40%/60%</t>
  </si>
  <si>
    <t>531 Mill Road</t>
  </si>
  <si>
    <t>Auburn</t>
  </si>
  <si>
    <t>CA</t>
  </si>
  <si>
    <t>530.888.7097</t>
  </si>
  <si>
    <t>beneficialhousing@gmail.com</t>
  </si>
  <si>
    <t>Administrative GP</t>
  </si>
  <si>
    <t>The Beneficial Housing Foundation</t>
  </si>
  <si>
    <t>Kimberley McClintock</t>
  </si>
  <si>
    <t>Managing GP</t>
  </si>
  <si>
    <t>Community Preservation Partners</t>
  </si>
  <si>
    <t>17782 Sky Park Circle</t>
  </si>
  <si>
    <t>Irvine</t>
  </si>
  <si>
    <t xml:space="preserve">CA </t>
  </si>
  <si>
    <t>Karen Buckland</t>
  </si>
  <si>
    <t>949.246.6083</t>
  </si>
  <si>
    <t>kbuckland@cpp-housing.com</t>
  </si>
  <si>
    <t>Developer</t>
  </si>
  <si>
    <t>Irvine, CA 92614</t>
  </si>
  <si>
    <t>Chris McLeod, Architect</t>
  </si>
  <si>
    <t>13963 Leibacher Avenue</t>
  </si>
  <si>
    <t>Norwalk, CA 90650</t>
  </si>
  <si>
    <t xml:space="preserve">Chris McLeod </t>
  </si>
  <si>
    <t>chrismcleod@charter.com</t>
  </si>
  <si>
    <t>949.701.9505</t>
  </si>
  <si>
    <t>Sabelhaus &amp; Strain PC</t>
  </si>
  <si>
    <t>1724 10th Street, Ste. 110</t>
  </si>
  <si>
    <t>Sacramento, CA 95811</t>
  </si>
  <si>
    <t>Steve Strain</t>
  </si>
  <si>
    <t>916.444.0286</t>
  </si>
  <si>
    <t>sstrain@sabelhauslaw.com</t>
  </si>
  <si>
    <t>White Cap Coastal, Inc.</t>
  </si>
  <si>
    <t>P.O. Box 3266</t>
  </si>
  <si>
    <t>Auburn, CA 95604</t>
  </si>
  <si>
    <t>Ron Bettencourt</t>
  </si>
  <si>
    <t>530.745.9990</t>
  </si>
  <si>
    <t>whitecapcoastal@gmail.com</t>
  </si>
  <si>
    <t>Propp Christensen Caniglia LLP</t>
  </si>
  <si>
    <t>9261 Sierra College Blvd</t>
  </si>
  <si>
    <t>Roseville, CA 95661</t>
  </si>
  <si>
    <t>Justin Gierth, CPA</t>
  </si>
  <si>
    <t>916.847.2738</t>
  </si>
  <si>
    <t>jgierth@pccllp.com</t>
  </si>
  <si>
    <t>WNC</t>
  </si>
  <si>
    <t>Jessica Captanis</t>
  </si>
  <si>
    <t>949.439.2616</t>
  </si>
  <si>
    <t>jcaptanis@wncinc.com</t>
  </si>
  <si>
    <t>Peralta Energy</t>
  </si>
  <si>
    <t>4180 Emerald Street</t>
  </si>
  <si>
    <t>Oakland, CA 94609</t>
  </si>
  <si>
    <t>Ben Thompson</t>
  </si>
  <si>
    <t>510.459.0827</t>
  </si>
  <si>
    <t>ben@peraltaenergy.com</t>
  </si>
  <si>
    <t>Gill Group</t>
  </si>
  <si>
    <t>2100 Gill Plaza Drive, Ste. B</t>
  </si>
  <si>
    <t>Dexter, MO 63841</t>
  </si>
  <si>
    <t>Todd Gill</t>
  </si>
  <si>
    <t>800.428.3320</t>
  </si>
  <si>
    <t>todd.gill@gillgroup.com</t>
  </si>
  <si>
    <t>Patrick Crawford</t>
  </si>
  <si>
    <t>patrick.crawford@gillgroup.com</t>
  </si>
  <si>
    <t>CMFA</t>
  </si>
  <si>
    <t>2111 Palomar Airport Rd, Ste. 320</t>
  </si>
  <si>
    <t>Carlsbad, CA 92011</t>
  </si>
  <si>
    <t>Anthony Stubbs</t>
  </si>
  <si>
    <t>760.930.1333</t>
  </si>
  <si>
    <t>astubbs@cmfa-ca.com</t>
  </si>
  <si>
    <t>AWI Management Corporation</t>
  </si>
  <si>
    <t>120 Center Street</t>
  </si>
  <si>
    <t>Auburn, CA 95603</t>
  </si>
  <si>
    <t>Tina Williams</t>
  </si>
  <si>
    <t>530.745.6201</t>
  </si>
  <si>
    <t>twilliams@awimc.com</t>
  </si>
  <si>
    <t>Appraisal</t>
  </si>
  <si>
    <t>Multifamily Residential Rental</t>
  </si>
  <si>
    <t>Hollister Investment Group II, III and V</t>
  </si>
  <si>
    <t>General Partner</t>
  </si>
  <si>
    <t>1010 Racquet Club Dr., Auburn, CA 95603</t>
  </si>
  <si>
    <t>530.745.3243</t>
  </si>
  <si>
    <t>One or Two Story Garden</t>
  </si>
  <si>
    <t>High Density Residential</t>
  </si>
  <si>
    <t>R-4 / 12-35 units per acre</t>
  </si>
  <si>
    <t>Max - Dwelling 45'; Accessory 15'</t>
  </si>
  <si>
    <t>One covered space per unit</t>
  </si>
  <si>
    <t>USDA RD 515 Assumption</t>
  </si>
  <si>
    <t>WNC - Tax Credit Equity</t>
  </si>
  <si>
    <t>Existing Reserves</t>
  </si>
  <si>
    <t>USDA RD Approved UA</t>
  </si>
  <si>
    <t>USDA RD 521</t>
  </si>
  <si>
    <t>1 bedroom</t>
  </si>
  <si>
    <t>Not Applicable</t>
  </si>
  <si>
    <t>Provided</t>
  </si>
  <si>
    <t>Bettencourt Properties, Inc.</t>
  </si>
  <si>
    <t>Ronald D. Bettencourt</t>
  </si>
  <si>
    <t>Prospect Avenue Senior, Prospect Villa and Propect Villa III</t>
  </si>
  <si>
    <t>190 East Park Street; 960 and 998 Prospect Avenue</t>
  </si>
  <si>
    <t>PAS:056-250-042-000; PV1:056-250-041-000; and  PV3: 056-250-058-000</t>
  </si>
  <si>
    <t>1985/1988/1994</t>
  </si>
  <si>
    <t>Dorian Hermann</t>
  </si>
  <si>
    <t>John P. Casper Family Partnership</t>
  </si>
  <si>
    <t>Dorian Hermann, John P. Casper</t>
  </si>
  <si>
    <t>2/1/206</t>
  </si>
  <si>
    <t>California Bank &amp; Trust</t>
  </si>
  <si>
    <t>Variable</t>
  </si>
  <si>
    <t>Fixed</t>
  </si>
  <si>
    <t>NOI</t>
  </si>
  <si>
    <t>430 G Street, Agency 4169</t>
  </si>
  <si>
    <t>Davis</t>
  </si>
  <si>
    <t>Katrina Moseley</t>
  </si>
  <si>
    <t>352-338-3438</t>
  </si>
  <si>
    <t>Existing Assumed Debt</t>
  </si>
  <si>
    <t>949-439-2616</t>
  </si>
  <si>
    <t>Tax Credit Equity</t>
  </si>
  <si>
    <t>530-888-7097</t>
  </si>
  <si>
    <t>Acquired Reserves</t>
  </si>
  <si>
    <t>Seth Gellis</t>
  </si>
  <si>
    <t>949-278-3658</t>
  </si>
  <si>
    <t>550 South Hope Street, Third Floor</t>
  </si>
  <si>
    <t>Mark Wolf</t>
  </si>
  <si>
    <t>310-407-6183</t>
  </si>
  <si>
    <t>Construction Debt</t>
  </si>
  <si>
    <t>Perm Debt</t>
  </si>
  <si>
    <t>Existing Assumed RD 515 Debt</t>
  </si>
  <si>
    <t>101/148/151</t>
  </si>
  <si>
    <t>P&amp;P Bond</t>
  </si>
  <si>
    <t>MGP Fee (Start Up, Legal, etc).</t>
  </si>
  <si>
    <t>Health Ins, Payroll Tax, Workers Comp</t>
  </si>
  <si>
    <t>Misc Admin (phone, wifi, supplies, etc.)</t>
  </si>
  <si>
    <t>SOFR+2.35%</t>
  </si>
  <si>
    <t>Misc 3rd Party Reports (PCNA, Energy, Zoning, etc.)</t>
  </si>
  <si>
    <t>Bettencourt Properties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</si>
</sst>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168" fontId="16" fillId="5" borderId="11" xfId="0" applyNumberFormat="1" applyFont="1" applyFill="1" applyBorder="1" applyAlignment="1" applyProtection="1">
      <alignment horizontal="center"/>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6" sqref="K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19501924</v>
      </c>
      <c r="I3" s="1105"/>
    </row>
    <row r="4" spans="1:13" s="1051" customFormat="1" ht="20.100000000000001" customHeight="1">
      <c r="B4" s="1094"/>
      <c r="D4" s="1108"/>
      <c r="F4" s="1092" t="s">
        <v>1992</v>
      </c>
      <c r="G4" s="1091" t="s">
        <v>1991</v>
      </c>
      <c r="H4" s="1093">
        <f>I18</f>
        <v>7750000</v>
      </c>
      <c r="I4" s="1095"/>
      <c r="K4" s="1055"/>
    </row>
    <row r="5" spans="1:13" s="1051" customFormat="1" ht="20.100000000000001" customHeight="1" thickBot="1">
      <c r="B5" s="1096"/>
      <c r="C5" s="1097"/>
      <c r="D5" s="1109"/>
      <c r="E5" s="1098"/>
      <c r="F5" s="1109" t="s">
        <v>1942</v>
      </c>
      <c r="G5" s="1110"/>
      <c r="H5" s="1106">
        <f>IFERROR(H3/H4,0)</f>
        <v>2.5163772903225805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1940</v>
      </c>
      <c r="C8" s="2663"/>
      <c r="D8" s="2663"/>
      <c r="E8" s="2664"/>
      <c r="G8" s="2665" t="s">
        <v>1941</v>
      </c>
      <c r="H8" s="2666"/>
      <c r="I8" s="2667"/>
      <c r="K8" s="1057"/>
    </row>
    <row r="9" spans="1:13" ht="15" customHeight="1">
      <c r="A9" s="1046"/>
      <c r="B9" s="2660" t="s">
        <v>1974</v>
      </c>
      <c r="C9" s="2660"/>
      <c r="D9" s="2660"/>
      <c r="E9" s="1059">
        <f>G33</f>
        <v>3150000</v>
      </c>
      <c r="G9" s="2668" t="s">
        <v>1972</v>
      </c>
      <c r="H9" s="2668"/>
      <c r="I9" s="1060">
        <f>SUMIF(Application!M554:M565,"Loan, Tax-Exempt",Application!AM554:AM565)</f>
        <v>7750000</v>
      </c>
      <c r="K9" s="1061"/>
      <c r="M9" s="1062"/>
    </row>
    <row r="10" spans="1:13" ht="15" customHeight="1" thickBot="1">
      <c r="A10" s="1046"/>
      <c r="B10" s="2660" t="s">
        <v>1975</v>
      </c>
      <c r="C10" s="2660"/>
      <c r="D10" s="2660"/>
      <c r="E10" s="1060">
        <f>G47</f>
        <v>14007924</v>
      </c>
      <c r="G10" s="2672" t="s">
        <v>1943</v>
      </c>
      <c r="H10" s="2672"/>
      <c r="I10" s="1140">
        <f>'Basis &amp; Credits'!AB78</f>
        <v>0</v>
      </c>
      <c r="M10" s="1062"/>
    </row>
    <row r="11" spans="1:13" ht="15" customHeight="1">
      <c r="A11" s="1046"/>
      <c r="B11" s="2676" t="s">
        <v>2264</v>
      </c>
      <c r="C11" s="2677"/>
      <c r="D11" s="2678"/>
      <c r="E11" s="1060">
        <f>SUM(E12,E13)</f>
        <v>580000</v>
      </c>
      <c r="G11" s="2675" t="s">
        <v>1983</v>
      </c>
      <c r="H11" s="2675"/>
      <c r="I11" s="1139">
        <f>I9+I10</f>
        <v>7750000</v>
      </c>
      <c r="M11" s="1062"/>
    </row>
    <row r="12" spans="1:13" ht="15" customHeight="1">
      <c r="A12" s="1063"/>
      <c r="B12" s="2661" t="s">
        <v>2266</v>
      </c>
      <c r="C12" s="2661"/>
      <c r="D12" s="2661"/>
      <c r="E12" s="1165">
        <f>G56</f>
        <v>0</v>
      </c>
      <c r="M12" s="1062"/>
    </row>
    <row r="13" spans="1:13" ht="15" customHeight="1">
      <c r="A13" s="1049"/>
      <c r="B13" s="2661" t="s">
        <v>2267</v>
      </c>
      <c r="C13" s="2661"/>
      <c r="D13" s="2661"/>
      <c r="E13" s="1165">
        <f>G65</f>
        <v>580000</v>
      </c>
      <c r="G13" s="2665" t="s">
        <v>2006</v>
      </c>
      <c r="H13" s="2666"/>
      <c r="I13" s="2667"/>
      <c r="M13" s="1062"/>
    </row>
    <row r="14" spans="1:13" ht="15" customHeight="1">
      <c r="A14" s="1049"/>
      <c r="B14" s="2676" t="s">
        <v>2265</v>
      </c>
      <c r="C14" s="2677"/>
      <c r="D14" s="2678"/>
      <c r="E14" s="1167">
        <f>MAX(E15,E16)+E17</f>
        <v>1764000</v>
      </c>
      <c r="G14" s="2668" t="s">
        <v>139</v>
      </c>
      <c r="H14" s="2668"/>
      <c r="I14" s="1064">
        <f>15%*(AND(G120="Yes",G122&lt;&gt;""))</f>
        <v>0</v>
      </c>
      <c r="M14" s="1062"/>
    </row>
    <row r="15" spans="1:13" ht="15" customHeight="1">
      <c r="A15" s="1049"/>
      <c r="B15" s="2679" t="s">
        <v>2271</v>
      </c>
      <c r="C15" s="2680"/>
      <c r="D15" s="2681"/>
      <c r="E15" s="1165">
        <f>G80</f>
        <v>0</v>
      </c>
      <c r="G15" s="1137" t="s">
        <v>1984</v>
      </c>
      <c r="H15" s="1137"/>
      <c r="I15" s="1064">
        <f>IF(Application!AJ1032&gt;0,10%,IF(Application!AJ1036&gt;0,5%,0))</f>
        <v>0</v>
      </c>
      <c r="M15" s="1062"/>
    </row>
    <row r="16" spans="1:13" ht="15" customHeight="1">
      <c r="A16" s="1049"/>
      <c r="B16" s="2679" t="s">
        <v>2270</v>
      </c>
      <c r="C16" s="2680"/>
      <c r="D16" s="2681"/>
      <c r="E16" s="1165">
        <f>G90</f>
        <v>0</v>
      </c>
      <c r="G16" s="2668" t="s">
        <v>1985</v>
      </c>
      <c r="H16" s="2668"/>
      <c r="I16" s="1064">
        <f>G132</f>
        <v>0</v>
      </c>
    </row>
    <row r="17" spans="1:21" ht="15" customHeight="1" thickBot="1">
      <c r="A17" s="1049"/>
      <c r="B17" s="2679" t="s">
        <v>2269</v>
      </c>
      <c r="C17" s="2680"/>
      <c r="D17" s="2681"/>
      <c r="E17" s="1165">
        <f>G115</f>
        <v>1764000</v>
      </c>
      <c r="G17" s="2668" t="s">
        <v>2279</v>
      </c>
      <c r="H17" s="2668"/>
      <c r="I17" s="1064">
        <f>IF(AND(G139="Yes",OR(G136,G137)),IF(G143&gt;15%,15%,G143),0)</f>
        <v>0</v>
      </c>
    </row>
    <row r="18" spans="1:21" ht="15" customHeight="1">
      <c r="A18" s="1046"/>
      <c r="B18" s="2671" t="s">
        <v>1939</v>
      </c>
      <c r="C18" s="2671"/>
      <c r="D18" s="2671"/>
      <c r="E18" s="1111">
        <f>SUM(E9:E11,E14)</f>
        <v>19501924</v>
      </c>
      <c r="G18" s="1138" t="s">
        <v>1973</v>
      </c>
      <c r="H18" s="1138"/>
      <c r="I18" s="1112">
        <f>I11-((I11*I14)+(I11*I15)+(I11*I16)+(I11*I17))</f>
        <v>7750000</v>
      </c>
      <c r="M18" s="1065">
        <f>SUM(Cdlac[Quantity])</f>
        <v>63</v>
      </c>
      <c r="O18" s="1084" t="s">
        <v>582</v>
      </c>
      <c r="P18" s="1044">
        <f>MATCH(Application!T189,Application!CB160:CB217,0)</f>
        <v>35</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751.8</v>
      </c>
      <c r="Q20" s="1164"/>
      <c r="R20" s="1065" cm="1">
        <f t="array" ref="R20">IF(Cdlac[[#This Row],[Quantity]]&gt;0,INDEX(HudFmrs,$P$18,Cdlac[[#This Row],[Bedrooms]]+1),"")</f>
        <v>1999</v>
      </c>
      <c r="S20" s="1065">
        <f>IF(Cdlac[[#This Row],[Quantity]]&gt;0,MAX(0,Cdlac[[#This Row],[Fair Market Rent]]-IF(AND($G$37,$G$38,$G$38&lt;&gt;"",NOT(Cdlac[[#This Row],[Federal]]),Cdlac[[#This Row],[Preservation Rent]]&lt;&gt;""),Cdlac[[#This Row],[Preservation Rent]],Cdlac[[#This Row],[Restricted Rent]])),"")</f>
        <v>1247.2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10</v>
      </c>
      <c r="N21" s="1071">
        <f>Application!AC719</f>
        <v>0.6</v>
      </c>
      <c r="O21" s="1071">
        <f>IF(Cdlac[[#This Row],[Quantity]]&gt;0,IF(Cdlac[[#This Row],[Federal]],30%,IF(AND(OR(NOT($G$38),$G$38=""),$G$43),40%,Cdlac[[#This Row],[iAMI]])),"")</f>
        <v>0.3</v>
      </c>
      <c r="P21" s="1065" cm="1">
        <f t="array" ref="P21">IF(Cdlac[[#This Row],[Quantity]]&gt;0,INDEX(TcacRents,$P$18,Cdlac[[#This Row],[Bedrooms]]+1)*Cdlac[[#This Row],[AMI]],"")</f>
        <v>751.8</v>
      </c>
      <c r="Q21" s="1164"/>
      <c r="R21" s="1065" cm="1">
        <f t="array" ref="R21">IF(Cdlac[[#This Row],[Quantity]]&gt;0,INDEX(HudFmrs,$P$18,Cdlac[[#This Row],[Bedrooms]]+1),"")</f>
        <v>1999</v>
      </c>
      <c r="S21" s="1065">
        <f>IF(Cdlac[[#This Row],[Quantity]]&gt;0,MAX(0,Cdlac[[#This Row],[Fair Market Rent]]-IF(AND($G$37,$G$38,$G$38&lt;&gt;"",NOT(Cdlac[[#This Row],[Federal]]),Cdlac[[#This Row],[Preservation Rent]]&lt;&gt;""),Cdlac[[#This Row],[Preservation Rent]],Cdlac[[#This Row],[Restricted Rent]])),"")</f>
        <v>1247.2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9" t="s">
        <v>1987</v>
      </c>
      <c r="D22" s="2669" t="s">
        <v>1988</v>
      </c>
      <c r="E22" s="2669" t="s">
        <v>1989</v>
      </c>
      <c r="F22" s="2669" t="s">
        <v>2610</v>
      </c>
      <c r="G22" s="2669"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9</v>
      </c>
      <c r="N23" s="1071">
        <f>Application!AC721</f>
        <v>0.3</v>
      </c>
      <c r="O23" s="1071">
        <f>IF(Cdlac[[#This Row],[Quantity]]&gt;0,IF(Cdlac[[#This Row],[Federal]],30%,IF(AND(OR(NOT($G$38),$G$38=""),$G$43),40%,Cdlac[[#This Row],[iAMI]])),"")</f>
        <v>0.3</v>
      </c>
      <c r="P23" s="1065" cm="1">
        <f t="array" ref="P23">IF(Cdlac[[#This Row],[Quantity]]&gt;0,INDEX(TcacRents,$P$18,Cdlac[[#This Row],[Bedrooms]]+1)*Cdlac[[#This Row],[AMI]],"")</f>
        <v>751.8</v>
      </c>
      <c r="Q23" s="1164"/>
      <c r="R23" s="1065" cm="1">
        <f t="array" ref="R23">IF(Cdlac[[#This Row],[Quantity]]&gt;0,INDEX(HudFmrs,$P$18,Cdlac[[#This Row],[Bedrooms]]+1),"")</f>
        <v>1999</v>
      </c>
      <c r="S23" s="1065">
        <f>IF(Cdlac[[#This Row],[Quantity]]&gt;0,MAX(0,Cdlac[[#This Row],[Fair Market Rent]]-IF(AND($G$37,$G$38,$G$38&lt;&gt;"",NOT(Cdlac[[#This Row],[Federal]]),Cdlac[[#This Row],[Preservation Rent]]&lt;&gt;""),Cdlac[[#This Row],[Preservation Rent]],Cdlac[[#This Row],[Restricted Rent]])),"")</f>
        <v>1247.2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5</v>
      </c>
      <c r="N24" s="1071">
        <f>Application!AC722</f>
        <v>0.6</v>
      </c>
      <c r="O24" s="1071">
        <f>IF(Cdlac[[#This Row],[Quantity]]&gt;0,IF(Cdlac[[#This Row],[Federal]],30%,IF(AND(OR(NOT($G$38),$G$38=""),$G$43),40%,Cdlac[[#This Row],[iAMI]])),"")</f>
        <v>0.3</v>
      </c>
      <c r="P24" s="1065" cm="1">
        <f t="array" ref="P24">IF(Cdlac[[#This Row],[Quantity]]&gt;0,INDEX(TcacRents,$P$18,Cdlac[[#This Row],[Bedrooms]]+1)*Cdlac[[#This Row],[AMI]],"")</f>
        <v>751.8</v>
      </c>
      <c r="Q24" s="1164"/>
      <c r="R24" s="1065" cm="1">
        <f t="array" ref="R24">IF(Cdlac[[#This Row],[Quantity]]&gt;0,INDEX(HudFmrs,$P$18,Cdlac[[#This Row],[Bedrooms]]+1),"")</f>
        <v>1999</v>
      </c>
      <c r="S24" s="1065">
        <f>IF(Cdlac[[#This Row],[Quantity]]&gt;0,MAX(0,Cdlac[[#This Row],[Fair Market Rent]]-IF(AND($G$37,$G$38,$G$38&lt;&gt;"",NOT(Cdlac[[#This Row],[Federal]]),Cdlac[[#This Row],[Preservation Rent]]&lt;&gt;""),Cdlac[[#This Row],[Preservation Rent]],Cdlac[[#This Row],[Restricted Rent]])),"")</f>
        <v>1247.2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63</v>
      </c>
      <c r="F25" s="1072">
        <f>E25</f>
        <v>63</v>
      </c>
      <c r="G25" s="1072">
        <f>D25*F25</f>
        <v>63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11</v>
      </c>
      <c r="N26" s="1071">
        <f>Application!AC724</f>
        <v>0.3</v>
      </c>
      <c r="O26" s="1071">
        <f>IF(Cdlac[[#This Row],[Quantity]]&gt;0,IF(Cdlac[[#This Row],[Federal]],30%,IF(AND(OR(NOT($G$38),$G$38=""),$G$43),40%,Cdlac[[#This Row],[iAMI]])),"")</f>
        <v>0.3</v>
      </c>
      <c r="P26" s="1065" cm="1">
        <f t="array" ref="P26">IF(Cdlac[[#This Row],[Quantity]]&gt;0,INDEX(TcacRents,$P$18,Cdlac[[#This Row],[Bedrooms]]+1)*Cdlac[[#This Row],[AMI]],"")</f>
        <v>751.8</v>
      </c>
      <c r="Q26" s="1164"/>
      <c r="R26" s="1065" cm="1">
        <f t="array" ref="R26">IF(Cdlac[[#This Row],[Quantity]]&gt;0,INDEX(HudFmrs,$P$18,Cdlac[[#This Row],[Bedrooms]]+1),"")</f>
        <v>1999</v>
      </c>
      <c r="S26" s="1065">
        <f>IF(Cdlac[[#This Row],[Quantity]]&gt;0,MAX(0,Cdlac[[#This Row],[Fair Market Rent]]-IF(AND($G$37,$G$38,$G$38&lt;&gt;"",NOT(Cdlac[[#This Row],[Federal]]),Cdlac[[#This Row],[Preservation Rent]]&lt;&gt;""),Cdlac[[#This Row],[Preservation Rent]],Cdlac[[#This Row],[Restricted Rent]])),"")</f>
        <v>1247.2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18</v>
      </c>
      <c r="N27" s="1071">
        <f>Application!AC725</f>
        <v>0.6</v>
      </c>
      <c r="O27" s="1071">
        <f>IF(Cdlac[[#This Row],[Quantity]]&gt;0,IF(Cdlac[[#This Row],[Federal]],30%,IF(AND(OR(NOT($G$38),$G$38=""),$G$43),40%,Cdlac[[#This Row],[iAMI]])),"")</f>
        <v>0.3</v>
      </c>
      <c r="P27" s="1065" cm="1">
        <f t="array" ref="P27">IF(Cdlac[[#This Row],[Quantity]]&gt;0,INDEX(TcacRents,$P$18,Cdlac[[#This Row],[Bedrooms]]+1)*Cdlac[[#This Row],[AMI]],"")</f>
        <v>751.8</v>
      </c>
      <c r="Q27" s="1164"/>
      <c r="R27" s="1065" cm="1">
        <f t="array" ref="R27">IF(Cdlac[[#This Row],[Quantity]]&gt;0,INDEX(HudFmrs,$P$18,Cdlac[[#This Row],[Bedrooms]]+1),"")</f>
        <v>1999</v>
      </c>
      <c r="S27" s="1065">
        <f>IF(Cdlac[[#This Row],[Quantity]]&gt;0,MAX(0,Cdlac[[#This Row],[Fair Market Rent]]-IF(AND($G$37,$G$38,$G$38&lt;&gt;"",NOT(Cdlac[[#This Row],[Federal]]),Cdlac[[#This Row],[Preservation Rent]]&lt;&gt;""),Cdlac[[#This Row],[Preservation Rent]],Cdlac[[#This Row],[Restricted Rent]])),"")</f>
        <v>1247.2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63</v>
      </c>
      <c r="F29" s="1089">
        <f>SUM(F24:F28)</f>
        <v>63</v>
      </c>
      <c r="G29" s="1090">
        <f>SUMPRODUCT(D24:D28,F24:F28)</f>
        <v>63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1</v>
      </c>
      <c r="N30" s="1071">
        <f>Application!AC728</f>
        <v>0.6</v>
      </c>
      <c r="O30" s="1071">
        <f>IF(Cdlac[[#This Row],[Quantity]]&gt;0,IF(Cdlac[[#This Row],[Federal]],30%,IF(AND(OR(NOT($G$38),$G$38=""),$G$43),40%,Cdlac[[#This Row],[iAMI]])),"")</f>
        <v>0.6</v>
      </c>
      <c r="P30" s="1065" cm="1">
        <f t="array" ref="P30">IF(Cdlac[[#This Row],[Quantity]]&gt;0,INDEX(TcacRents,$P$18,Cdlac[[#This Row],[Bedrooms]]+1)*Cdlac[[#This Row],[AMI]],"")</f>
        <v>1503.6</v>
      </c>
      <c r="Q30" s="1164"/>
      <c r="R30" s="1065" cm="1">
        <f t="array" ref="R30">IF(Cdlac[[#This Row],[Quantity]]&gt;0,INDEX(HudFmrs,$P$18,Cdlac[[#This Row],[Bedrooms]]+1),"")</f>
        <v>1999</v>
      </c>
      <c r="S30" s="1065">
        <f>IF(Cdlac[[#This Row],[Quantity]]&gt;0,MAX(0,Cdlac[[#This Row],[Fair Market Rent]]-IF(AND($G$37,$G$38,$G$38&lt;&gt;"",NOT(Cdlac[[#This Row],[Federal]]),Cdlac[[#This Row],[Preservation Rent]]&lt;&gt;""),Cdlac[[#This Row],[Preservation Rent]],Cdlac[[#This Row],[Restricted Rent]])),"")</f>
        <v>495.40000000000009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3150000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1</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t="b">
        <v>0</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77821.8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14007924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29</v>
      </c>
    </row>
    <row r="61" spans="2:21" ht="15" customHeight="1">
      <c r="E61" s="1117" t="s">
        <v>1995</v>
      </c>
      <c r="G61" s="1079">
        <f>ROUNDDOWN(E29*50%,0)</f>
        <v>31</v>
      </c>
    </row>
    <row r="62" spans="2:21" ht="15" customHeight="1">
      <c r="E62" s="1117"/>
      <c r="G62" s="1079"/>
    </row>
    <row r="63" spans="2:21" ht="15" customHeight="1">
      <c r="E63" s="1117" t="s">
        <v>1955</v>
      </c>
      <c r="G63" s="1114">
        <f>MIN(G60:G61)</f>
        <v>29</v>
      </c>
    </row>
    <row r="64" spans="2:21" ht="15" customHeight="1">
      <c r="E64" s="1117" t="s">
        <v>1945</v>
      </c>
      <c r="F64" s="1113" t="s">
        <v>1993</v>
      </c>
      <c r="G64" s="1124">
        <v>20000</v>
      </c>
    </row>
    <row r="65" spans="2:14" ht="15" customHeight="1">
      <c r="E65" s="1118" t="s">
        <v>1977</v>
      </c>
      <c r="F65" s="1046"/>
      <c r="G65" s="1123">
        <f>G63*G64</f>
        <v>580000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669</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Moderate Resource</v>
      </c>
      <c r="L72" s="2656" t="s">
        <v>1970</v>
      </c>
      <c r="M72" s="2657"/>
      <c r="N72" s="1131">
        <v>30000</v>
      </c>
    </row>
    <row r="73" spans="2:14" ht="15" customHeight="1">
      <c r="C73" s="2658" t="s">
        <v>2263</v>
      </c>
      <c r="D73" s="2658"/>
      <c r="E73" s="2658"/>
      <c r="F73" s="2658"/>
      <c r="G73" s="1043" t="s">
        <v>669</v>
      </c>
      <c r="L73" s="2673" t="s">
        <v>1938</v>
      </c>
      <c r="M73" s="2674"/>
      <c r="N73" s="1132">
        <v>20000</v>
      </c>
    </row>
    <row r="74" spans="2:14" ht="15" customHeight="1" thickBot="1">
      <c r="C74" s="2658"/>
      <c r="D74" s="2658"/>
      <c r="E74" s="2658"/>
      <c r="F74" s="2658"/>
      <c r="L74" s="2648" t="s">
        <v>1971</v>
      </c>
      <c r="M74" s="264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63</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63</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63</v>
      </c>
    </row>
    <row r="97" spans="2:14" ht="15" customHeight="1">
      <c r="E97" s="1118" t="s">
        <v>1962</v>
      </c>
      <c r="F97" s="1046"/>
      <c r="G97" s="1123">
        <f>G94*G95*G96</f>
        <v>1008000</v>
      </c>
      <c r="L97" s="1127" t="str">
        <f>'Points System'!H638</f>
        <v>N/A</v>
      </c>
      <c r="M97" s="2654" t="s">
        <v>1405</v>
      </c>
      <c r="N97" s="2655"/>
    </row>
    <row r="98" spans="2:14" ht="15" customHeight="1">
      <c r="C98" s="1077"/>
      <c r="G98" s="1114"/>
      <c r="L98" s="1128" t="str">
        <f>'Points System'!H650</f>
        <v>(ii)</v>
      </c>
      <c r="M98" s="2650" t="s">
        <v>1957</v>
      </c>
      <c r="N98" s="2651"/>
    </row>
    <row r="99" spans="2:14" ht="15" customHeight="1">
      <c r="E99" s="1084" t="s">
        <v>1998</v>
      </c>
      <c r="G99" s="1126">
        <f>COUNTIFS(L97:L104,"(i)")</f>
        <v>3</v>
      </c>
      <c r="L99" s="1128" t="str">
        <f>'Points System'!H685</f>
        <v>(i)</v>
      </c>
      <c r="M99" s="2650" t="s">
        <v>1958</v>
      </c>
      <c r="N99" s="2651"/>
    </row>
    <row r="100" spans="2:14" ht="15" customHeight="1">
      <c r="E100" s="1084" t="s">
        <v>1945</v>
      </c>
      <c r="F100" s="1113" t="s">
        <v>1993</v>
      </c>
      <c r="G100" s="1124">
        <v>4000</v>
      </c>
      <c r="L100" s="1128" t="str">
        <f>IF(OR('Points System'!H709="(ii)",'Points System'!H709="(i)"),"(i)","N/A")</f>
        <v>N/A</v>
      </c>
      <c r="M100" s="2650" t="s">
        <v>1959</v>
      </c>
      <c r="N100" s="2651"/>
    </row>
    <row r="101" spans="2:14" ht="15" customHeight="1">
      <c r="E101" s="1118" t="s">
        <v>1963</v>
      </c>
      <c r="F101" s="1046"/>
      <c r="G101" s="1123">
        <f>G96*G99*G100</f>
        <v>756000</v>
      </c>
      <c r="L101" s="1129" t="str">
        <f>'Points System'!H723</f>
        <v>N/A</v>
      </c>
      <c r="M101" s="2650" t="s">
        <v>1431</v>
      </c>
      <c r="N101" s="2651"/>
    </row>
    <row r="102" spans="2:14" ht="15" customHeight="1">
      <c r="L102" s="1128" t="str">
        <f>'Points System'!H735</f>
        <v>N/A</v>
      </c>
      <c r="M102" s="2650" t="s">
        <v>1960</v>
      </c>
      <c r="N102" s="2651"/>
    </row>
    <row r="103" spans="2:14" ht="15" customHeight="1">
      <c r="C103" s="1080" t="s">
        <v>1965</v>
      </c>
      <c r="L103" s="1128" t="str">
        <f>'Points System'!H751</f>
        <v>(i)</v>
      </c>
      <c r="M103" s="2650" t="s">
        <v>1961</v>
      </c>
      <c r="N103" s="2651"/>
    </row>
    <row r="104" spans="2:14" ht="15" customHeight="1" thickBot="1">
      <c r="C104" s="1077" t="s">
        <v>1966</v>
      </c>
      <c r="G104" s="1043"/>
      <c r="L104" s="1130" t="str">
        <f>'Points System'!H763</f>
        <v>(i)</v>
      </c>
      <c r="M104" s="2652" t="s">
        <v>1434</v>
      </c>
      <c r="N104" s="2653"/>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63</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1764000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2228</v>
      </c>
      <c r="D119" s="2685"/>
      <c r="E119" s="2685"/>
      <c r="F119" s="2685"/>
    </row>
    <row r="120" spans="2:9" ht="15" customHeight="1">
      <c r="C120" s="2685"/>
      <c r="D120" s="2685"/>
      <c r="E120" s="2685"/>
      <c r="F120" s="2685"/>
      <c r="G120" s="1043"/>
    </row>
    <row r="121" spans="2:9" ht="15" customHeight="1"/>
    <row r="122" spans="2:9" ht="15" customHeight="1">
      <c r="C122" s="1044" t="s">
        <v>2230</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Benito</v>
      </c>
    </row>
    <row r="129" spans="2:9">
      <c r="E129" s="1084"/>
      <c r="G129" s="1078"/>
    </row>
    <row r="130" spans="2:9">
      <c r="E130" s="1084" t="str">
        <f>"2-Bedroom "&amp;G128&amp;" County Basis Limit"</f>
        <v>2-Bedroom San Benito County Basis Limit</v>
      </c>
      <c r="G130" s="1078">
        <f>Application!R988</f>
        <v>489600</v>
      </c>
    </row>
    <row r="131" spans="2:9">
      <c r="E131" s="1084" t="s">
        <v>2001</v>
      </c>
      <c r="G131" s="1078">
        <f>MEDIAN((Application!CU160:CU217))</f>
        <v>489600</v>
      </c>
    </row>
    <row r="132" spans="2:9" ht="15">
      <c r="D132" s="1046"/>
      <c r="E132" s="1118" t="s">
        <v>2003</v>
      </c>
      <c r="F132" s="1134"/>
      <c r="G132" s="1135">
        <f>((G130-G131)/G131)*0.25</f>
        <v>0</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1</v>
      </c>
    </row>
    <row r="137" spans="2:9">
      <c r="E137" s="1084" t="s">
        <v>2275</v>
      </c>
      <c r="G137" s="1044" t="b">
        <f>OR('Points System'!B52="Yes", 'Points System'!B56="Yes",'Points System'!B58="Yes")</f>
        <v>1</v>
      </c>
    </row>
    <row r="138" spans="2:9">
      <c r="C138" s="2682" t="s">
        <v>2276</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1162500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12" sqref="C1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9</v>
      </c>
      <c r="C4" s="1162" t="s">
        <v>385</v>
      </c>
      <c r="D4" s="428">
        <f>Application!O718</f>
        <v>603</v>
      </c>
      <c r="E4" s="429"/>
      <c r="F4" s="1083">
        <v>2265</v>
      </c>
      <c r="G4" s="428">
        <f>F4*B4</f>
        <v>20385</v>
      </c>
      <c r="H4" s="429"/>
      <c r="I4" s="428">
        <f t="shared" ref="I4:I27" si="0">IF(F4=0,"",(F4-D4))</f>
        <v>1662</v>
      </c>
      <c r="J4" s="428">
        <f t="shared" ref="J4:J27" si="1">IF(F4=0,"",(I4*B4))</f>
        <v>14958</v>
      </c>
      <c r="K4" s="204"/>
      <c r="L4" s="305"/>
    </row>
    <row r="5" spans="1:12">
      <c r="A5" s="428" t="str">
        <f>Application!B719</f>
        <v>1 Bedroom</v>
      </c>
      <c r="B5" s="1082">
        <f>Application!G719</f>
        <v>10</v>
      </c>
      <c r="C5" s="1162" t="s">
        <v>385</v>
      </c>
      <c r="D5" s="428">
        <f>Application!O719</f>
        <v>1355</v>
      </c>
      <c r="E5" s="429"/>
      <c r="F5" s="1083">
        <v>2265</v>
      </c>
      <c r="G5" s="428">
        <f t="shared" ref="G5:G38" si="2">F5*B5</f>
        <v>22650</v>
      </c>
      <c r="H5" s="429"/>
      <c r="I5" s="428">
        <f t="shared" si="0"/>
        <v>910</v>
      </c>
      <c r="J5" s="428">
        <f t="shared" si="1"/>
        <v>9100</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1 Bedroom</v>
      </c>
      <c r="B7" s="1082">
        <f>Application!G721</f>
        <v>9</v>
      </c>
      <c r="C7" s="1162" t="s">
        <v>385</v>
      </c>
      <c r="D7" s="428">
        <f>Application!O721</f>
        <v>650</v>
      </c>
      <c r="E7" s="429"/>
      <c r="F7" s="1083">
        <v>2100</v>
      </c>
      <c r="G7" s="428">
        <f t="shared" si="2"/>
        <v>18900</v>
      </c>
      <c r="H7" s="429"/>
      <c r="I7" s="428">
        <f t="shared" si="0"/>
        <v>1450</v>
      </c>
      <c r="J7" s="428">
        <f t="shared" si="1"/>
        <v>13050</v>
      </c>
      <c r="K7" s="204"/>
      <c r="L7" s="305"/>
    </row>
    <row r="8" spans="1:12">
      <c r="A8" s="428" t="str">
        <f>Application!B722</f>
        <v>1 Bedroom</v>
      </c>
      <c r="B8" s="1082">
        <f>Application!G722</f>
        <v>5</v>
      </c>
      <c r="C8" s="1162" t="s">
        <v>385</v>
      </c>
      <c r="D8" s="428">
        <f>Application!O722</f>
        <v>1402</v>
      </c>
      <c r="E8" s="429"/>
      <c r="F8" s="1083">
        <v>2100</v>
      </c>
      <c r="G8" s="428">
        <f t="shared" si="2"/>
        <v>10500</v>
      </c>
      <c r="H8" s="429"/>
      <c r="I8" s="428">
        <f t="shared" si="0"/>
        <v>698</v>
      </c>
      <c r="J8" s="428">
        <f t="shared" si="1"/>
        <v>3490</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11</v>
      </c>
      <c r="C10" s="1162" t="s">
        <v>385</v>
      </c>
      <c r="D10" s="428">
        <f>Application!O724</f>
        <v>600</v>
      </c>
      <c r="E10" s="429"/>
      <c r="F10" s="1083">
        <v>2100</v>
      </c>
      <c r="G10" s="428">
        <f t="shared" si="2"/>
        <v>23100</v>
      </c>
      <c r="H10" s="429"/>
      <c r="I10" s="428">
        <f t="shared" si="0"/>
        <v>1500</v>
      </c>
      <c r="J10" s="428">
        <f t="shared" si="1"/>
        <v>16500</v>
      </c>
      <c r="K10" s="204"/>
      <c r="L10" s="305"/>
    </row>
    <row r="11" spans="1:12">
      <c r="A11" s="428" t="str">
        <f>Application!B725</f>
        <v>1 Bedroom</v>
      </c>
      <c r="B11" s="1082">
        <f>Application!G725</f>
        <v>18</v>
      </c>
      <c r="C11" s="1162" t="s">
        <v>385</v>
      </c>
      <c r="D11" s="428">
        <f>Application!O725</f>
        <v>1352</v>
      </c>
      <c r="E11" s="429"/>
      <c r="F11" s="1083">
        <v>2100</v>
      </c>
      <c r="G11" s="428">
        <f t="shared" si="2"/>
        <v>37800</v>
      </c>
      <c r="H11" s="429"/>
      <c r="I11" s="428">
        <f t="shared" si="0"/>
        <v>748</v>
      </c>
      <c r="J11" s="428">
        <f t="shared" si="1"/>
        <v>13464</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t="str">
        <f>Application!B728</f>
        <v>1 Bedroom</v>
      </c>
      <c r="B14" s="1082">
        <f>Application!G728</f>
        <v>1</v>
      </c>
      <c r="C14" s="1162"/>
      <c r="D14" s="428">
        <f>Application!O728</f>
        <v>1355</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64128</v>
      </c>
      <c r="E40" s="429"/>
      <c r="F40" s="429"/>
      <c r="G40" s="432">
        <f>SUM(G4:G38)*12</f>
        <v>1600020</v>
      </c>
      <c r="H40" s="433"/>
      <c r="I40" s="431"/>
      <c r="J40" s="432">
        <f>SUM(J4:J38)*12</f>
        <v>846744</v>
      </c>
      <c r="K40" s="204"/>
      <c r="L40" s="306"/>
    </row>
    <row r="41" spans="1:12" ht="15">
      <c r="A41" s="430"/>
      <c r="B41" s="431"/>
      <c r="C41" s="431"/>
      <c r="D41" s="433"/>
      <c r="E41" s="429"/>
      <c r="F41" s="429"/>
      <c r="G41" s="433"/>
      <c r="H41" s="433"/>
      <c r="I41" s="431"/>
      <c r="J41" s="433"/>
      <c r="K41" s="204"/>
      <c r="L41" s="306"/>
    </row>
    <row r="42" spans="1:12">
      <c r="A42" s="304" t="s">
        <v>2258</v>
      </c>
    </row>
    <row r="43" spans="1:12">
      <c r="A43" s="2690" t="s">
        <v>2497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2259</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48" sqref="E4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769536</v>
      </c>
      <c r="G4" s="219">
        <f>E4*$C$4</f>
        <v>788774.39999999991</v>
      </c>
      <c r="I4" s="219">
        <f>G4*$C$4</f>
        <v>808493.75999999978</v>
      </c>
      <c r="K4" s="219">
        <f>I4*$C$4</f>
        <v>828706.1039999997</v>
      </c>
      <c r="M4" s="219">
        <f>K4*$C$4</f>
        <v>849423.75659999961</v>
      </c>
      <c r="O4" s="219">
        <f>M4*$C$4</f>
        <v>870659.35051499947</v>
      </c>
      <c r="Q4" s="219">
        <f>O4*$C$4</f>
        <v>892425.83427787444</v>
      </c>
      <c r="S4" s="219">
        <f>Q4*$C$4</f>
        <v>914736.48013482126</v>
      </c>
      <c r="U4" s="219">
        <f>S4*$C$4</f>
        <v>937604.89213819173</v>
      </c>
      <c r="W4" s="219">
        <f>U4*$C$4</f>
        <v>961045.0144416464</v>
      </c>
      <c r="Y4" s="219">
        <f>W4*$C$4</f>
        <v>985071.13980268745</v>
      </c>
      <c r="AA4" s="219">
        <f>Y4*$C$4</f>
        <v>1009697.9182977546</v>
      </c>
      <c r="AC4" s="219">
        <f>AA4*$C$4</f>
        <v>1034940.3662551984</v>
      </c>
      <c r="AE4" s="219">
        <f>AC4*$C$4</f>
        <v>1060813.8754115782</v>
      </c>
      <c r="AG4" s="219">
        <f>AE4*$C$4</f>
        <v>1087334.2222968675</v>
      </c>
    </row>
    <row r="5" spans="1:34" s="210" customFormat="1" ht="14.25">
      <c r="B5" s="210" t="s">
        <v>838</v>
      </c>
      <c r="C5" s="238">
        <f>IF(Application!$D$211="Special Needs",(((0.1*Application!$T$212)+(0.05*(1-Application!$T$212)))),0.05)</f>
        <v>0.05</v>
      </c>
      <c r="E5" s="221">
        <f>-E4*$C$5</f>
        <v>-38476.800000000003</v>
      </c>
      <c r="F5" s="221"/>
      <c r="G5" s="221">
        <f>-G4*$C$5</f>
        <v>-39438.720000000001</v>
      </c>
      <c r="H5" s="221"/>
      <c r="I5" s="221">
        <f>-I4*$C$5</f>
        <v>-40424.687999999995</v>
      </c>
      <c r="J5" s="221"/>
      <c r="K5" s="221">
        <f>-K4*$C$5</f>
        <v>-41435.305199999988</v>
      </c>
      <c r="L5" s="221"/>
      <c r="M5" s="221">
        <f>-M4*$C$5</f>
        <v>-42471.187829999981</v>
      </c>
      <c r="N5" s="221"/>
      <c r="O5" s="221">
        <f>-O4*$C$5</f>
        <v>-43532.967525749977</v>
      </c>
      <c r="P5" s="221"/>
      <c r="Q5" s="221">
        <f>-Q4*$C$5</f>
        <v>-44621.291713893726</v>
      </c>
      <c r="R5" s="221"/>
      <c r="S5" s="221">
        <f>-S4*$C$5</f>
        <v>-45736.824006741066</v>
      </c>
      <c r="T5" s="221"/>
      <c r="U5" s="221">
        <f>-U4*$C$5</f>
        <v>-46880.244606909589</v>
      </c>
      <c r="V5" s="221"/>
      <c r="W5" s="221">
        <f>-W4*$C$5</f>
        <v>-48052.250722082325</v>
      </c>
      <c r="X5" s="221"/>
      <c r="Y5" s="221">
        <f>-Y4*$C$5</f>
        <v>-49253.556990134377</v>
      </c>
      <c r="Z5" s="221"/>
      <c r="AA5" s="221">
        <f>-AA4*$C$5</f>
        <v>-50484.895914887733</v>
      </c>
      <c r="AB5" s="221"/>
      <c r="AC5" s="221">
        <f>-AC4*$C$5</f>
        <v>-51747.018312759923</v>
      </c>
      <c r="AD5" s="221"/>
      <c r="AE5" s="221">
        <f>-AE4*$C$5</f>
        <v>-53040.693770578917</v>
      </c>
      <c r="AF5" s="221"/>
      <c r="AG5" s="221">
        <f>-AG4*$C$5</f>
        <v>-54366.711114843376</v>
      </c>
    </row>
    <row r="6" spans="1:34" s="210" customFormat="1" ht="14.25">
      <c r="A6" s="210" t="s">
        <v>836</v>
      </c>
      <c r="C6" s="237">
        <v>1.0249999999999999</v>
      </c>
      <c r="E6" s="222">
        <f>Application!Z809</f>
        <v>846744</v>
      </c>
      <c r="F6" s="222"/>
      <c r="G6" s="222">
        <f>E6*$C$6</f>
        <v>867912.6</v>
      </c>
      <c r="H6" s="222"/>
      <c r="I6" s="222">
        <f>G6*$C$6</f>
        <v>889610.41499999992</v>
      </c>
      <c r="J6" s="222"/>
      <c r="K6" s="222">
        <f>I6*$C$6</f>
        <v>911850.67537499988</v>
      </c>
      <c r="L6" s="222"/>
      <c r="M6" s="222">
        <f>K6*$C$6</f>
        <v>934646.94225937477</v>
      </c>
      <c r="N6" s="222"/>
      <c r="O6" s="222">
        <f>M6*$C$6</f>
        <v>958013.11581585906</v>
      </c>
      <c r="P6" s="222"/>
      <c r="Q6" s="222">
        <f>O6*$C$6</f>
        <v>981963.44371125544</v>
      </c>
      <c r="R6" s="222"/>
      <c r="S6" s="222">
        <f>Q6*$C$6</f>
        <v>1006512.5298040367</v>
      </c>
      <c r="T6" s="222"/>
      <c r="U6" s="222">
        <f>S6*$C$6</f>
        <v>1031675.3430491375</v>
      </c>
      <c r="V6" s="222"/>
      <c r="W6" s="222">
        <f>U6*$C$6</f>
        <v>1057467.2266253659</v>
      </c>
      <c r="X6" s="222"/>
      <c r="Y6" s="222">
        <f>W6*$C$6</f>
        <v>1083903.907291</v>
      </c>
      <c r="Z6" s="222"/>
      <c r="AA6" s="222">
        <f>Y6*$C$6</f>
        <v>1111001.5049732749</v>
      </c>
      <c r="AB6" s="222"/>
      <c r="AC6" s="222">
        <f>AA6*$C$6</f>
        <v>1138776.5425976068</v>
      </c>
      <c r="AD6" s="222"/>
      <c r="AE6" s="222">
        <f>AC6*$C$6</f>
        <v>1167245.9561625468</v>
      </c>
      <c r="AF6" s="222"/>
      <c r="AG6" s="222">
        <f>AE6*$C$6</f>
        <v>1196427.1050666103</v>
      </c>
    </row>
    <row r="7" spans="1:34" s="210" customFormat="1" ht="14.25">
      <c r="B7" s="210" t="s">
        <v>838</v>
      </c>
      <c r="C7" s="238">
        <f>IF(Application!$D$211="Special Needs",(((0.1*Application!$T$212)+(0.05*(1-Application!$T$212)))),0.05)</f>
        <v>0.05</v>
      </c>
      <c r="E7" s="221">
        <f>-E6*$C$7</f>
        <v>-42337.200000000004</v>
      </c>
      <c r="F7" s="221"/>
      <c r="G7" s="221">
        <f>-G6*$C$7</f>
        <v>-43395.630000000005</v>
      </c>
      <c r="H7" s="221"/>
      <c r="I7" s="221">
        <f>-I6*$C$7</f>
        <v>-44480.520749999996</v>
      </c>
      <c r="J7" s="221"/>
      <c r="K7" s="221">
        <f>-K6*$C$7</f>
        <v>-45592.53376875</v>
      </c>
      <c r="L7" s="221"/>
      <c r="M7" s="221">
        <f>-M6*$C$7</f>
        <v>-46732.347112968739</v>
      </c>
      <c r="N7" s="221"/>
      <c r="O7" s="221">
        <f>-O6*$C$7</f>
        <v>-47900.655790792953</v>
      </c>
      <c r="P7" s="221"/>
      <c r="Q7" s="221">
        <f>-Q6*$C$7</f>
        <v>-49098.172185562777</v>
      </c>
      <c r="R7" s="221"/>
      <c r="S7" s="221">
        <f>-S6*$C$7</f>
        <v>-50325.626490201837</v>
      </c>
      <c r="T7" s="221"/>
      <c r="U7" s="221">
        <f>-U6*$C$7</f>
        <v>-51583.76715245688</v>
      </c>
      <c r="V7" s="221"/>
      <c r="W7" s="221">
        <f>-W6*$C$7</f>
        <v>-52873.361331268301</v>
      </c>
      <c r="X7" s="221"/>
      <c r="Y7" s="221">
        <f>-Y6*$C$7</f>
        <v>-54195.195364550003</v>
      </c>
      <c r="Z7" s="221"/>
      <c r="AA7" s="221">
        <f>-AA6*$C$7</f>
        <v>-55550.07524866375</v>
      </c>
      <c r="AB7" s="221"/>
      <c r="AC7" s="221">
        <f>-AC6*$C$7</f>
        <v>-56938.827129880345</v>
      </c>
      <c r="AD7" s="221"/>
      <c r="AE7" s="221">
        <f>-AE6*$C$7</f>
        <v>-58362.29780812734</v>
      </c>
      <c r="AF7" s="221"/>
      <c r="AG7" s="221">
        <f>-AG6*$C$7</f>
        <v>-59821.355253330519</v>
      </c>
    </row>
    <row r="8" spans="1:34" s="210" customFormat="1" ht="14.25">
      <c r="A8" s="210" t="s">
        <v>288</v>
      </c>
      <c r="C8" s="237">
        <v>1.0249999999999999</v>
      </c>
      <c r="E8" s="222">
        <f>Application!Z817</f>
        <v>5685</v>
      </c>
      <c r="F8" s="222"/>
      <c r="G8" s="222">
        <f>E8*$C$8</f>
        <v>5827.1249999999991</v>
      </c>
      <c r="H8" s="222"/>
      <c r="I8" s="222">
        <f>G8*$C$8</f>
        <v>5972.8031249999985</v>
      </c>
      <c r="J8" s="222"/>
      <c r="K8" s="222">
        <f>I8*$C$8</f>
        <v>6122.1232031249983</v>
      </c>
      <c r="L8" s="222"/>
      <c r="M8" s="222">
        <f>K8*$C$8</f>
        <v>6275.1762832031227</v>
      </c>
      <c r="N8" s="222"/>
      <c r="O8" s="222">
        <f>M8*$C$8</f>
        <v>6432.0556902832004</v>
      </c>
      <c r="P8" s="222"/>
      <c r="Q8" s="222">
        <f>O8*$C$8</f>
        <v>6592.8570825402794</v>
      </c>
      <c r="R8" s="222"/>
      <c r="S8" s="222">
        <f>Q8*$C$8</f>
        <v>6757.6785096037856</v>
      </c>
      <c r="T8" s="222"/>
      <c r="U8" s="222">
        <f>S8*$C$8</f>
        <v>6926.6204723438796</v>
      </c>
      <c r="V8" s="222"/>
      <c r="W8" s="222">
        <f>U8*$C$8</f>
        <v>7099.785984152476</v>
      </c>
      <c r="X8" s="222"/>
      <c r="Y8" s="222">
        <f>W8*$C$8</f>
        <v>7277.280633756287</v>
      </c>
      <c r="Z8" s="222"/>
      <c r="AA8" s="222">
        <f>Y8*$C$8</f>
        <v>7459.2126496001938</v>
      </c>
      <c r="AB8" s="222"/>
      <c r="AC8" s="222">
        <f>AA8*$C$8</f>
        <v>7645.6929658401978</v>
      </c>
      <c r="AD8" s="222"/>
      <c r="AE8" s="222">
        <f>AC8*$C$8</f>
        <v>7836.835289986202</v>
      </c>
      <c r="AF8" s="222"/>
      <c r="AG8" s="222">
        <f>AE8*$C$8</f>
        <v>8032.756172235856</v>
      </c>
    </row>
    <row r="9" spans="1:34" s="210" customFormat="1" ht="14.25">
      <c r="B9" s="210" t="s">
        <v>838</v>
      </c>
      <c r="C9" s="238">
        <f>IF(Application!$D$211="Special Needs",(((0.1*Application!$T$212)+(0.05*(1-Application!$T$212)))),0.05)</f>
        <v>0.05</v>
      </c>
      <c r="E9" s="221">
        <f>-E8*$C$9</f>
        <v>-284.25</v>
      </c>
      <c r="F9" s="221"/>
      <c r="G9" s="221">
        <f>-G8*$C$9</f>
        <v>-291.35624999999999</v>
      </c>
      <c r="H9" s="221"/>
      <c r="I9" s="221">
        <f>-I8*$C$9</f>
        <v>-298.64015624999996</v>
      </c>
      <c r="J9" s="221"/>
      <c r="K9" s="221">
        <f>-K8*$C$9</f>
        <v>-306.10616015624993</v>
      </c>
      <c r="L9" s="221"/>
      <c r="M9" s="221">
        <f>-M8*$C$9</f>
        <v>-313.75881416015613</v>
      </c>
      <c r="N9" s="221"/>
      <c r="O9" s="221">
        <f>-O8*$C$9</f>
        <v>-321.60278451416002</v>
      </c>
      <c r="P9" s="221"/>
      <c r="Q9" s="221">
        <f>-Q8*$C$9</f>
        <v>-329.642854127014</v>
      </c>
      <c r="R9" s="221"/>
      <c r="S9" s="221">
        <f>-S8*$C$9</f>
        <v>-337.8839254801893</v>
      </c>
      <c r="T9" s="221"/>
      <c r="U9" s="221">
        <f>-U8*$C$9</f>
        <v>-346.33102361719398</v>
      </c>
      <c r="V9" s="221"/>
      <c r="W9" s="221">
        <f>-W8*$C$9</f>
        <v>-354.98929920762384</v>
      </c>
      <c r="X9" s="221"/>
      <c r="Y9" s="221">
        <f>-Y8*$C$9</f>
        <v>-363.86403168781436</v>
      </c>
      <c r="Z9" s="221"/>
      <c r="AA9" s="221">
        <f>-AA8*$C$9</f>
        <v>-372.96063248000974</v>
      </c>
      <c r="AB9" s="221"/>
      <c r="AC9" s="221">
        <f>-AC8*$C$9</f>
        <v>-382.28464829200993</v>
      </c>
      <c r="AD9" s="221"/>
      <c r="AE9" s="221">
        <f>-AE8*$C$9</f>
        <v>-391.8417644993101</v>
      </c>
      <c r="AF9" s="221"/>
      <c r="AG9" s="221">
        <f>-AG8*$C$9</f>
        <v>-401.63780861179282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1540866.75</v>
      </c>
      <c r="G11" s="223">
        <f>SUM(G4:G10)</f>
        <v>1579388.41875</v>
      </c>
      <c r="I11" s="223">
        <f>SUM(I4:I10)</f>
        <v>1618873.1292187499</v>
      </c>
      <c r="K11" s="223">
        <f>SUM(K4:K10)</f>
        <v>1659344.9574492185</v>
      </c>
      <c r="M11" s="223">
        <f>SUM(M4:M10)</f>
        <v>1700828.5813854483</v>
      </c>
      <c r="O11" s="223">
        <f>SUM(O4:O10)</f>
        <v>1743349.2959200845</v>
      </c>
      <c r="Q11" s="223">
        <f>SUM(Q4:Q10)</f>
        <v>1786933.0283180864</v>
      </c>
      <c r="S11" s="223">
        <f>SUM(S4:S10)</f>
        <v>1831606.3540260387</v>
      </c>
      <c r="U11" s="223">
        <f>SUM(U4:U10)</f>
        <v>1877396.5128766894</v>
      </c>
      <c r="W11" s="223">
        <f>SUM(W4:W10)</f>
        <v>1924331.4256986065</v>
      </c>
      <c r="Y11" s="223">
        <f>SUM(Y4:Y10)</f>
        <v>1972439.7113410714</v>
      </c>
      <c r="AA11" s="223">
        <f>SUM(AA4:AA10)</f>
        <v>2021750.7041245981</v>
      </c>
      <c r="AC11" s="223">
        <f>SUM(AC4:AC10)</f>
        <v>2072294.471727713</v>
      </c>
      <c r="AE11" s="223">
        <f>SUM(AE4:AE10)</f>
        <v>2124101.8335209056</v>
      </c>
      <c r="AG11" s="223">
        <f>SUM(AG4:AG10)</f>
        <v>2177204.3793589287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45358</v>
      </c>
      <c r="G15" s="219">
        <f>E15*$C$14</f>
        <v>46945.53</v>
      </c>
      <c r="I15" s="219">
        <f>G15*$C$14</f>
        <v>48588.623549999997</v>
      </c>
      <c r="K15" s="219">
        <f>I15*$C$14</f>
        <v>50289.225374249996</v>
      </c>
      <c r="M15" s="219">
        <f>K15*$C$14</f>
        <v>52049.348262348743</v>
      </c>
      <c r="O15" s="219">
        <f>M15*$C$14</f>
        <v>53871.075451530945</v>
      </c>
      <c r="Q15" s="219">
        <f>O15*$C$14</f>
        <v>55756.563092334523</v>
      </c>
      <c r="S15" s="219">
        <f>Q15*$C$14</f>
        <v>57708.042800566225</v>
      </c>
      <c r="U15" s="219">
        <f>S15*$C$14</f>
        <v>59727.824298586042</v>
      </c>
      <c r="W15" s="219">
        <f>U15*$C$14</f>
        <v>61818.298149036549</v>
      </c>
      <c r="Y15" s="219">
        <f>W15*$C$14</f>
        <v>63981.938584252821</v>
      </c>
      <c r="AA15" s="219">
        <f>Y15*$C$14</f>
        <v>66221.306434701663</v>
      </c>
      <c r="AC15" s="219">
        <f>AA15*$C$14</f>
        <v>68539.052159916217</v>
      </c>
      <c r="AE15" s="219">
        <f>AC15*$C$14</f>
        <v>70937.918985513272</v>
      </c>
      <c r="AG15" s="219">
        <f>AE15*$C$14</f>
        <v>73420.746150006235</v>
      </c>
    </row>
    <row r="16" spans="1:34" s="210" customFormat="1" ht="14.25">
      <c r="A16" s="210" t="s">
        <v>344</v>
      </c>
      <c r="C16" s="233"/>
      <c r="E16" s="222">
        <f>Application!W849</f>
        <v>68352</v>
      </c>
      <c r="F16" s="222"/>
      <c r="G16" s="222">
        <f t="shared" ref="G16:AG21" si="0">E16*$C$14</f>
        <v>70744.319999999992</v>
      </c>
      <c r="H16" s="222"/>
      <c r="I16" s="222">
        <f t="shared" si="0"/>
        <v>73220.37119999998</v>
      </c>
      <c r="J16" s="222"/>
      <c r="K16" s="222">
        <f t="shared" si="0"/>
        <v>75783.08419199998</v>
      </c>
      <c r="L16" s="222"/>
      <c r="M16" s="222">
        <f t="shared" si="0"/>
        <v>78435.492138719972</v>
      </c>
      <c r="N16" s="222"/>
      <c r="O16" s="222">
        <f t="shared" si="0"/>
        <v>81180.73436357516</v>
      </c>
      <c r="P16" s="222"/>
      <c r="Q16" s="222">
        <f t="shared" si="0"/>
        <v>84022.060066300284</v>
      </c>
      <c r="R16" s="222"/>
      <c r="S16" s="222">
        <f t="shared" si="0"/>
        <v>86962.832168620793</v>
      </c>
      <c r="T16" s="222"/>
      <c r="U16" s="222">
        <f t="shared" si="0"/>
        <v>90006.531294522516</v>
      </c>
      <c r="V16" s="222"/>
      <c r="W16" s="222">
        <f t="shared" si="0"/>
        <v>93156.759889830792</v>
      </c>
      <c r="X16" s="222"/>
      <c r="Y16" s="222">
        <f t="shared" si="0"/>
        <v>96417.246485974858</v>
      </c>
      <c r="Z16" s="222"/>
      <c r="AA16" s="222">
        <f t="shared" si="0"/>
        <v>99791.850112983971</v>
      </c>
      <c r="AB16" s="222"/>
      <c r="AC16" s="222">
        <f t="shared" si="0"/>
        <v>103284.5648669384</v>
      </c>
      <c r="AD16" s="222"/>
      <c r="AE16" s="222">
        <f t="shared" si="0"/>
        <v>106899.52463728123</v>
      </c>
      <c r="AF16" s="222"/>
      <c r="AG16" s="222">
        <f t="shared" si="0"/>
        <v>110641.00799958606</v>
      </c>
    </row>
    <row r="17" spans="1:33" s="210" customFormat="1" ht="14.25">
      <c r="A17" s="210" t="s">
        <v>561</v>
      </c>
      <c r="C17" s="233"/>
      <c r="E17" s="222">
        <f>Application!W855</f>
        <v>96057</v>
      </c>
      <c r="F17" s="222"/>
      <c r="G17" s="222">
        <f t="shared" si="0"/>
        <v>99418.994999999995</v>
      </c>
      <c r="H17" s="222"/>
      <c r="I17" s="222">
        <f t="shared" si="0"/>
        <v>102898.65982499998</v>
      </c>
      <c r="J17" s="222"/>
      <c r="K17" s="222">
        <f t="shared" si="0"/>
        <v>106500.11291887498</v>
      </c>
      <c r="L17" s="222"/>
      <c r="M17" s="222">
        <f t="shared" si="0"/>
        <v>110227.61687103559</v>
      </c>
      <c r="N17" s="222"/>
      <c r="O17" s="222">
        <f t="shared" si="0"/>
        <v>114085.58346152182</v>
      </c>
      <c r="P17" s="222"/>
      <c r="Q17" s="222">
        <f t="shared" si="0"/>
        <v>118078.57888267508</v>
      </c>
      <c r="R17" s="222"/>
      <c r="S17" s="222">
        <f t="shared" si="0"/>
        <v>122211.3291435687</v>
      </c>
      <c r="T17" s="222"/>
      <c r="U17" s="222">
        <f t="shared" si="0"/>
        <v>126488.72566359359</v>
      </c>
      <c r="V17" s="222"/>
      <c r="W17" s="222">
        <f t="shared" si="0"/>
        <v>130915.83106181936</v>
      </c>
      <c r="X17" s="222"/>
      <c r="Y17" s="222">
        <f t="shared" si="0"/>
        <v>135497.88514898304</v>
      </c>
      <c r="Z17" s="222"/>
      <c r="AA17" s="222">
        <f t="shared" si="0"/>
        <v>140240.31112919745</v>
      </c>
      <c r="AB17" s="222"/>
      <c r="AC17" s="222">
        <f t="shared" si="0"/>
        <v>145148.72201871936</v>
      </c>
      <c r="AD17" s="222"/>
      <c r="AE17" s="222">
        <f t="shared" si="0"/>
        <v>150228.92728937452</v>
      </c>
      <c r="AF17" s="222"/>
      <c r="AG17" s="222">
        <f t="shared" si="0"/>
        <v>155486.93974450263</v>
      </c>
    </row>
    <row r="18" spans="1:33" s="210" customFormat="1" ht="14.25">
      <c r="A18" s="210" t="s">
        <v>842</v>
      </c>
      <c r="C18" s="233"/>
      <c r="E18" s="222">
        <f>Application!W862</f>
        <v>199271</v>
      </c>
      <c r="F18" s="222"/>
      <c r="G18" s="222">
        <f t="shared" si="0"/>
        <v>206245.48499999999</v>
      </c>
      <c r="H18" s="222"/>
      <c r="I18" s="222">
        <f t="shared" si="0"/>
        <v>213464.07697499997</v>
      </c>
      <c r="J18" s="222"/>
      <c r="K18" s="222">
        <f t="shared" si="0"/>
        <v>220935.31966912496</v>
      </c>
      <c r="L18" s="222"/>
      <c r="M18" s="222">
        <f t="shared" si="0"/>
        <v>228668.05585754433</v>
      </c>
      <c r="N18" s="222"/>
      <c r="O18" s="222">
        <f t="shared" si="0"/>
        <v>236671.43781255838</v>
      </c>
      <c r="P18" s="222"/>
      <c r="Q18" s="222">
        <f t="shared" si="0"/>
        <v>244954.93813599789</v>
      </c>
      <c r="R18" s="222"/>
      <c r="S18" s="222">
        <f t="shared" si="0"/>
        <v>253528.36097075779</v>
      </c>
      <c r="T18" s="222"/>
      <c r="U18" s="222">
        <f t="shared" si="0"/>
        <v>262401.85360473429</v>
      </c>
      <c r="V18" s="222"/>
      <c r="W18" s="222">
        <f t="shared" si="0"/>
        <v>271585.9184809</v>
      </c>
      <c r="X18" s="222"/>
      <c r="Y18" s="222">
        <f t="shared" si="0"/>
        <v>281091.42562773149</v>
      </c>
      <c r="Z18" s="222"/>
      <c r="AA18" s="222">
        <f t="shared" si="0"/>
        <v>290929.62552470207</v>
      </c>
      <c r="AB18" s="222"/>
      <c r="AC18" s="222">
        <f t="shared" si="0"/>
        <v>301112.16241806664</v>
      </c>
      <c r="AD18" s="222"/>
      <c r="AE18" s="222">
        <f t="shared" si="0"/>
        <v>311651.08810269897</v>
      </c>
      <c r="AF18" s="222"/>
      <c r="AG18" s="222">
        <f t="shared" si="0"/>
        <v>322558.87618629343</v>
      </c>
    </row>
    <row r="19" spans="1:33" s="210" customFormat="1" ht="14.25">
      <c r="A19" s="210" t="s">
        <v>155</v>
      </c>
      <c r="C19" s="233"/>
      <c r="E19" s="222">
        <f>Application!W863</f>
        <v>30791</v>
      </c>
      <c r="F19" s="222"/>
      <c r="G19" s="222">
        <f t="shared" si="0"/>
        <v>31868.684999999998</v>
      </c>
      <c r="H19" s="222"/>
      <c r="I19" s="222">
        <f t="shared" si="0"/>
        <v>32984.088974999991</v>
      </c>
      <c r="J19" s="222"/>
      <c r="K19" s="222">
        <f t="shared" si="0"/>
        <v>34138.532089124987</v>
      </c>
      <c r="L19" s="222"/>
      <c r="M19" s="222">
        <f t="shared" si="0"/>
        <v>35333.380712244361</v>
      </c>
      <c r="N19" s="222"/>
      <c r="O19" s="222">
        <f t="shared" si="0"/>
        <v>36570.04903717291</v>
      </c>
      <c r="P19" s="222"/>
      <c r="Q19" s="222">
        <f t="shared" si="0"/>
        <v>37850.000753473956</v>
      </c>
      <c r="R19" s="222"/>
      <c r="S19" s="222">
        <f t="shared" si="0"/>
        <v>39174.750779845541</v>
      </c>
      <c r="T19" s="222"/>
      <c r="U19" s="222">
        <f t="shared" si="0"/>
        <v>40545.867057140131</v>
      </c>
      <c r="V19" s="222"/>
      <c r="W19" s="222">
        <f t="shared" si="0"/>
        <v>41964.972404140033</v>
      </c>
      <c r="X19" s="222"/>
      <c r="Y19" s="222">
        <f t="shared" si="0"/>
        <v>43433.746438284928</v>
      </c>
      <c r="Z19" s="222"/>
      <c r="AA19" s="222">
        <f t="shared" si="0"/>
        <v>44953.9275636249</v>
      </c>
      <c r="AB19" s="222"/>
      <c r="AC19" s="222">
        <f t="shared" si="0"/>
        <v>46527.315028351768</v>
      </c>
      <c r="AD19" s="222"/>
      <c r="AE19" s="222">
        <f t="shared" si="0"/>
        <v>48155.771054344077</v>
      </c>
      <c r="AF19" s="222"/>
      <c r="AG19" s="222">
        <f t="shared" si="0"/>
        <v>49841.223041246114</v>
      </c>
    </row>
    <row r="20" spans="1:33" s="210" customFormat="1" ht="14.25">
      <c r="A20" s="210" t="s">
        <v>390</v>
      </c>
      <c r="C20" s="233"/>
      <c r="E20" s="222">
        <f>Application!W872</f>
        <v>99637</v>
      </c>
      <c r="F20" s="222"/>
      <c r="G20" s="222">
        <f t="shared" si="0"/>
        <v>103124.295</v>
      </c>
      <c r="H20" s="222"/>
      <c r="I20" s="222">
        <f t="shared" si="0"/>
        <v>106733.64532499999</v>
      </c>
      <c r="J20" s="222"/>
      <c r="K20" s="222">
        <f t="shared" si="0"/>
        <v>110469.32291137498</v>
      </c>
      <c r="L20" s="222"/>
      <c r="M20" s="222">
        <f t="shared" si="0"/>
        <v>114335.7492132731</v>
      </c>
      <c r="N20" s="222"/>
      <c r="O20" s="222">
        <f t="shared" si="0"/>
        <v>118337.50043573765</v>
      </c>
      <c r="P20" s="222"/>
      <c r="Q20" s="222">
        <f t="shared" si="0"/>
        <v>122479.31295098846</v>
      </c>
      <c r="R20" s="222"/>
      <c r="S20" s="222">
        <f t="shared" si="0"/>
        <v>126766.08890427304</v>
      </c>
      <c r="T20" s="222"/>
      <c r="U20" s="222">
        <f t="shared" si="0"/>
        <v>131202.90201592259</v>
      </c>
      <c r="V20" s="222"/>
      <c r="W20" s="222">
        <f t="shared" si="0"/>
        <v>135795.00358647987</v>
      </c>
      <c r="X20" s="222"/>
      <c r="Y20" s="222">
        <f t="shared" si="0"/>
        <v>140547.82871200665</v>
      </c>
      <c r="Z20" s="222"/>
      <c r="AA20" s="222">
        <f t="shared" si="0"/>
        <v>145467.00271692689</v>
      </c>
      <c r="AB20" s="222"/>
      <c r="AC20" s="222">
        <f t="shared" si="0"/>
        <v>150558.34781201932</v>
      </c>
      <c r="AD20" s="222"/>
      <c r="AE20" s="222">
        <f t="shared" si="0"/>
        <v>155827.88998543998</v>
      </c>
      <c r="AF20" s="222"/>
      <c r="AG20" s="222">
        <f t="shared" si="0"/>
        <v>161281.86613493037</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539466</v>
      </c>
      <c r="G22" s="223">
        <f>SUM(G15:G21)</f>
        <v>558347.30999999994</v>
      </c>
      <c r="I22" s="223">
        <f>SUM(I15:I21)</f>
        <v>577889.4658499998</v>
      </c>
      <c r="K22" s="223">
        <f>SUM(K15:K21)</f>
        <v>598115.59715474991</v>
      </c>
      <c r="M22" s="223">
        <f>SUM(M15:M21)</f>
        <v>619049.64305516612</v>
      </c>
      <c r="O22" s="223">
        <f>SUM(O15:O21)</f>
        <v>640716.38056209683</v>
      </c>
      <c r="Q22" s="223">
        <f>SUM(Q15:Q21)</f>
        <v>663141.45388177014</v>
      </c>
      <c r="S22" s="223">
        <f>SUM(S15:S21)</f>
        <v>686351.40476763202</v>
      </c>
      <c r="U22" s="223">
        <f>SUM(U15:U21)</f>
        <v>710373.70393449918</v>
      </c>
      <c r="W22" s="223">
        <f>SUM(W15:W21)</f>
        <v>735236.78357220674</v>
      </c>
      <c r="Y22" s="223">
        <f>SUM(Y15:Y21)</f>
        <v>760970.07099723385</v>
      </c>
      <c r="AA22" s="223">
        <f>SUM(AA15:AA21)</f>
        <v>787604.02348213689</v>
      </c>
      <c r="AC22" s="223">
        <f>SUM(AC15:AC21)</f>
        <v>815170.16430401162</v>
      </c>
      <c r="AE22" s="223">
        <f>SUM(AE15:AE21)</f>
        <v>843701.12005465187</v>
      </c>
      <c r="AG22" s="223">
        <f>SUM(AG15:AG21)</f>
        <v>873230.6592565648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E24*1.03</f>
        <v>0</v>
      </c>
      <c r="H24" s="222"/>
      <c r="I24" s="222">
        <f>G24*1.03</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846</v>
      </c>
      <c r="C28" s="237"/>
      <c r="E28" s="222">
        <f>Application!AC889</f>
        <v>19200</v>
      </c>
      <c r="F28" s="222"/>
      <c r="G28" s="222">
        <f>$E$28</f>
        <v>19200</v>
      </c>
      <c r="H28" s="222"/>
      <c r="I28" s="222">
        <f>$E$28</f>
        <v>19200</v>
      </c>
      <c r="J28" s="222"/>
      <c r="K28" s="222">
        <f>$E$28</f>
        <v>19200</v>
      </c>
      <c r="L28" s="222"/>
      <c r="M28" s="222">
        <f>$E$28</f>
        <v>19200</v>
      </c>
      <c r="N28" s="222"/>
      <c r="O28" s="222">
        <f>$E$28</f>
        <v>19200</v>
      </c>
      <c r="P28" s="222"/>
      <c r="Q28" s="222">
        <f>$E$28</f>
        <v>19200</v>
      </c>
      <c r="R28" s="222"/>
      <c r="S28" s="222">
        <f>$E$28</f>
        <v>19200</v>
      </c>
      <c r="T28" s="222"/>
      <c r="U28" s="222">
        <f>$E$28</f>
        <v>19200</v>
      </c>
      <c r="V28" s="222"/>
      <c r="W28" s="222">
        <f>$E$28</f>
        <v>19200</v>
      </c>
      <c r="X28" s="222"/>
      <c r="Y28" s="222">
        <f>$E$28</f>
        <v>19200</v>
      </c>
      <c r="Z28" s="222"/>
      <c r="AA28" s="222">
        <f>$E$28</f>
        <v>19200</v>
      </c>
      <c r="AB28" s="222"/>
      <c r="AC28" s="222">
        <f>$E$28</f>
        <v>19200</v>
      </c>
      <c r="AD28" s="222"/>
      <c r="AE28" s="222">
        <f>$E$28</f>
        <v>19200</v>
      </c>
      <c r="AF28" s="222"/>
      <c r="AG28" s="222">
        <f>$E$28</f>
        <v>19200</v>
      </c>
    </row>
    <row r="29" spans="1:33" s="210" customFormat="1" ht="14.25">
      <c r="A29" s="210" t="s">
        <v>1680</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Application!AC891</f>
        <v>23736</v>
      </c>
      <c r="F30" s="222"/>
      <c r="G30" s="222">
        <f>E30*$C$30</f>
        <v>24210.720000000001</v>
      </c>
      <c r="H30" s="222"/>
      <c r="I30" s="222">
        <f>G30*$C$30</f>
        <v>24694.934400000002</v>
      </c>
      <c r="J30" s="222"/>
      <c r="K30" s="222">
        <f>I30*$C$30</f>
        <v>25188.833088000003</v>
      </c>
      <c r="L30" s="222"/>
      <c r="M30" s="222">
        <f>K30*$C$30</f>
        <v>25692.609749760002</v>
      </c>
      <c r="N30" s="222"/>
      <c r="O30" s="222">
        <f>M30*$C$30</f>
        <v>26206.461944755203</v>
      </c>
      <c r="P30" s="222"/>
      <c r="Q30" s="222">
        <f>O30*$C$30</f>
        <v>26730.591183650307</v>
      </c>
      <c r="R30" s="222"/>
      <c r="S30" s="222">
        <f>Q30*$C$30</f>
        <v>27265.203007323315</v>
      </c>
      <c r="T30" s="222"/>
      <c r="U30" s="222">
        <f>S30*$C$30</f>
        <v>27810.507067469782</v>
      </c>
      <c r="V30" s="222"/>
      <c r="W30" s="222">
        <f>U30*$C$30</f>
        <v>28366.717208819176</v>
      </c>
      <c r="X30" s="222"/>
      <c r="Y30" s="222">
        <f>W30*$C$30</f>
        <v>28934.051552995559</v>
      </c>
      <c r="Z30" s="222"/>
      <c r="AA30" s="222">
        <f>Y30*$C$30</f>
        <v>29512.732584055469</v>
      </c>
      <c r="AB30" s="222"/>
      <c r="AC30" s="222">
        <f>AA30*$C$30</f>
        <v>30102.987235736578</v>
      </c>
      <c r="AD30" s="222"/>
      <c r="AE30" s="222">
        <f>AC30*$C$30</f>
        <v>30705.046980451312</v>
      </c>
      <c r="AF30" s="222"/>
      <c r="AG30" s="222">
        <f>AE30*$C$30</f>
        <v>31319.147920060339</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609202</v>
      </c>
      <c r="G35" s="223">
        <f>SUM(G22:G33)</f>
        <v>629356.02999999991</v>
      </c>
      <c r="I35" s="223">
        <f>SUM(I22:I33)</f>
        <v>650208.33024999977</v>
      </c>
      <c r="K35" s="223">
        <f>SUM(K22:K33)</f>
        <v>671783.19779274985</v>
      </c>
      <c r="M35" s="223">
        <f>SUM(M22:M33)</f>
        <v>694105.77721917606</v>
      </c>
      <c r="O35" s="223">
        <f>SUM(O22:O33)</f>
        <v>717202.09027560079</v>
      </c>
      <c r="Q35" s="223">
        <f>SUM(Q22:Q33)</f>
        <v>741099.06650607544</v>
      </c>
      <c r="S35" s="223">
        <f>SUM(S22:S33)</f>
        <v>765824.57496603322</v>
      </c>
      <c r="U35" s="223">
        <f>SUM(U22:U33)</f>
        <v>791407.4570447345</v>
      </c>
      <c r="W35" s="223">
        <f>SUM(W22:W33)</f>
        <v>817877.56043528835</v>
      </c>
      <c r="Y35" s="223">
        <f>SUM(Y22:Y33)</f>
        <v>845265.77429239103</v>
      </c>
      <c r="AA35" s="223">
        <f>SUM(AA22:AA33)</f>
        <v>873604.06561932957</v>
      </c>
      <c r="AC35" s="223">
        <f>SUM(AC22:AC33)</f>
        <v>902925.51692724519</v>
      </c>
      <c r="AE35" s="223">
        <f>SUM(AE22:AE33)</f>
        <v>933264.3652111626</v>
      </c>
      <c r="AG35" s="223">
        <f>SUM(AG22:AG33)</f>
        <v>964656.04228884657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931664.75</v>
      </c>
      <c r="G37" s="223">
        <f>G11-G35</f>
        <v>950032.38875000004</v>
      </c>
      <c r="I37" s="223">
        <f>I11-I35</f>
        <v>968664.79896875017</v>
      </c>
      <c r="K37" s="223">
        <f>K11-K35</f>
        <v>987561.75965646864</v>
      </c>
      <c r="M37" s="223">
        <f>M11-M35</f>
        <v>1006722.8041662723</v>
      </c>
      <c r="O37" s="223">
        <f>O11-O35</f>
        <v>1026147.2056444837</v>
      </c>
      <c r="Q37" s="223">
        <f>Q11-Q35</f>
        <v>1045833.961812011</v>
      </c>
      <c r="S37" s="223">
        <f>S11-S35</f>
        <v>1065781.7790600054</v>
      </c>
      <c r="U37" s="223">
        <f>U11-U35</f>
        <v>1085989.0558319548</v>
      </c>
      <c r="W37" s="223">
        <f>W11-W35</f>
        <v>1106453.8652633182</v>
      </c>
      <c r="Y37" s="223">
        <f>Y11-Y35</f>
        <v>1127173.9370486804</v>
      </c>
      <c r="AA37" s="223">
        <f>AA11-AA35</f>
        <v>1148146.6385052684</v>
      </c>
      <c r="AC37" s="223">
        <f>AC11-AC35</f>
        <v>1169368.9548004679</v>
      </c>
      <c r="AE37" s="223">
        <f>AE11-AE35</f>
        <v>1190837.4683097429</v>
      </c>
      <c r="AG37" s="223">
        <f>AG11-AG35</f>
        <v>1212548.3370700821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California Bank &amp; Trust</v>
      </c>
      <c r="B40" s="226"/>
      <c r="C40" s="220"/>
      <c r="E40" s="222">
        <f>Application!AF627</f>
        <v>618731</v>
      </c>
      <c r="F40" s="222"/>
      <c r="G40" s="222">
        <f>$E$40</f>
        <v>618731</v>
      </c>
      <c r="H40" s="222"/>
      <c r="I40" s="222">
        <f>$E$40</f>
        <v>618731</v>
      </c>
      <c r="J40" s="222"/>
      <c r="K40" s="222">
        <f>$E$40</f>
        <v>618731</v>
      </c>
      <c r="L40" s="222"/>
      <c r="M40" s="222">
        <f>$E$40</f>
        <v>618731</v>
      </c>
      <c r="N40" s="222"/>
      <c r="O40" s="222">
        <f>$E$40</f>
        <v>618731</v>
      </c>
      <c r="P40" s="222"/>
      <c r="Q40" s="222">
        <f>$E$40</f>
        <v>618731</v>
      </c>
      <c r="R40" s="222"/>
      <c r="S40" s="222">
        <f>$E$40</f>
        <v>618731</v>
      </c>
      <c r="T40" s="222"/>
      <c r="U40" s="222">
        <f>$E$40</f>
        <v>618731</v>
      </c>
      <c r="V40" s="222"/>
      <c r="W40" s="222">
        <f>$E$40</f>
        <v>618731</v>
      </c>
      <c r="X40" s="222"/>
      <c r="Y40" s="222">
        <f>$E$40</f>
        <v>618731</v>
      </c>
      <c r="Z40" s="222"/>
      <c r="AA40" s="222">
        <f>$E$40</f>
        <v>618731</v>
      </c>
      <c r="AB40" s="222"/>
      <c r="AC40" s="222">
        <f>$E$40</f>
        <v>618731</v>
      </c>
      <c r="AD40" s="222"/>
      <c r="AE40" s="222">
        <f>$E$40</f>
        <v>618731</v>
      </c>
      <c r="AF40" s="222"/>
      <c r="AG40" s="222">
        <f>$E$40</f>
        <v>618731</v>
      </c>
    </row>
    <row r="41" spans="1:33" s="210" customFormat="1" ht="14.25">
      <c r="A41" s="225" t="str">
        <f>Application!C628</f>
        <v>California Bank &amp; Trust</v>
      </c>
      <c r="B41" s="226"/>
      <c r="C41" s="220"/>
      <c r="E41" s="222">
        <f>Application!AF628</f>
        <v>99795</v>
      </c>
      <c r="F41" s="222"/>
      <c r="G41" s="222">
        <f>$E$41</f>
        <v>99795</v>
      </c>
      <c r="H41" s="222"/>
      <c r="I41" s="222">
        <f>$E$41</f>
        <v>99795</v>
      </c>
      <c r="J41" s="222"/>
      <c r="K41" s="222">
        <f>$E$41</f>
        <v>99795</v>
      </c>
      <c r="L41" s="222"/>
      <c r="M41" s="222">
        <f>$E$41</f>
        <v>99795</v>
      </c>
      <c r="N41" s="222"/>
      <c r="O41" s="222">
        <f>$E$41</f>
        <v>99795</v>
      </c>
      <c r="P41" s="222"/>
      <c r="Q41" s="222">
        <f>$E$41</f>
        <v>99795</v>
      </c>
      <c r="R41" s="222"/>
      <c r="S41" s="222">
        <f>$E$41</f>
        <v>99795</v>
      </c>
      <c r="T41" s="222"/>
      <c r="U41" s="222">
        <f>$E$41</f>
        <v>99795</v>
      </c>
      <c r="V41" s="222"/>
      <c r="W41" s="222">
        <f>$E$41</f>
        <v>99795</v>
      </c>
      <c r="X41" s="222"/>
      <c r="Y41" s="222">
        <f>$E$41</f>
        <v>99795</v>
      </c>
      <c r="Z41" s="222"/>
      <c r="AA41" s="222">
        <f>$E$41</f>
        <v>99795</v>
      </c>
      <c r="AB41" s="222"/>
      <c r="AC41" s="222">
        <f>$E$41</f>
        <v>99795</v>
      </c>
      <c r="AD41" s="222"/>
      <c r="AE41" s="222">
        <f>$E$41</f>
        <v>99795</v>
      </c>
      <c r="AF41" s="222"/>
      <c r="AG41" s="222">
        <f>$E$41</f>
        <v>99795</v>
      </c>
    </row>
    <row r="42" spans="1:33" s="210" customFormat="1" ht="14.25">
      <c r="A42" s="225" t="str">
        <f>Application!C629</f>
        <v>USDA RD 515 Assumption</v>
      </c>
      <c r="B42" s="226"/>
      <c r="C42" s="220"/>
      <c r="E42" s="222">
        <f>Application!AF629</f>
        <v>59543</v>
      </c>
      <c r="F42" s="222"/>
      <c r="G42" s="232">
        <f>$E$42</f>
        <v>59543</v>
      </c>
      <c r="H42" s="222"/>
      <c r="I42" s="232">
        <f>$E$42</f>
        <v>59543</v>
      </c>
      <c r="J42" s="222"/>
      <c r="K42" s="232">
        <f>$E$42</f>
        <v>59543</v>
      </c>
      <c r="L42" s="222"/>
      <c r="M42" s="232">
        <f>$E$42</f>
        <v>59543</v>
      </c>
      <c r="N42" s="222"/>
      <c r="O42" s="232">
        <f>$E$42</f>
        <v>59543</v>
      </c>
      <c r="P42" s="222"/>
      <c r="Q42" s="232">
        <f>$E$42</f>
        <v>59543</v>
      </c>
      <c r="R42" s="222"/>
      <c r="S42" s="232">
        <f>$E$42</f>
        <v>59543</v>
      </c>
      <c r="T42" s="222"/>
      <c r="U42" s="232">
        <f>$E$42</f>
        <v>59543</v>
      </c>
      <c r="V42" s="222"/>
      <c r="W42" s="232">
        <f>$E$42</f>
        <v>59543</v>
      </c>
      <c r="X42" s="222"/>
      <c r="Y42" s="232">
        <f>$E$42</f>
        <v>59543</v>
      </c>
      <c r="Z42" s="222"/>
      <c r="AA42" s="232">
        <f>$E$42</f>
        <v>59543</v>
      </c>
      <c r="AB42" s="222"/>
      <c r="AC42" s="232">
        <f>$E$42</f>
        <v>59543</v>
      </c>
      <c r="AD42" s="222"/>
      <c r="AE42" s="232">
        <f>$E$42</f>
        <v>59543</v>
      </c>
      <c r="AF42" s="222"/>
      <c r="AG42" s="232">
        <f>$E$42</f>
        <v>59543</v>
      </c>
    </row>
    <row r="43" spans="1:33" s="223" customFormat="1" ht="15">
      <c r="A43" s="223" t="s">
        <v>848</v>
      </c>
      <c r="C43" s="224"/>
      <c r="E43" s="223">
        <f>SUM(E40:E42)</f>
        <v>778069</v>
      </c>
      <c r="G43" s="223">
        <f>SUM(G40:G42)</f>
        <v>778069</v>
      </c>
      <c r="I43" s="223">
        <f>SUM(I40:I42)</f>
        <v>778069</v>
      </c>
      <c r="K43" s="223">
        <f>SUM(K40:K42)</f>
        <v>778069</v>
      </c>
      <c r="M43" s="223">
        <f>SUM(M40:M42)</f>
        <v>778069</v>
      </c>
      <c r="O43" s="223">
        <f>SUM(O40:O42)</f>
        <v>778069</v>
      </c>
      <c r="Q43" s="223">
        <f>SUM(Q40:Q42)</f>
        <v>778069</v>
      </c>
      <c r="S43" s="223">
        <f>SUM(S40:S42)</f>
        <v>778069</v>
      </c>
      <c r="U43" s="223">
        <f>SUM(U40:U42)</f>
        <v>778069</v>
      </c>
      <c r="W43" s="223">
        <f>SUM(W40:W42)</f>
        <v>778069</v>
      </c>
      <c r="Y43" s="223">
        <f>SUM(Y40:Y42)</f>
        <v>778069</v>
      </c>
      <c r="AA43" s="223">
        <f>SUM(AA40:AA42)</f>
        <v>778069</v>
      </c>
      <c r="AC43" s="223">
        <f>SUM(AC40:AC42)</f>
        <v>778069</v>
      </c>
      <c r="AE43" s="223">
        <f>SUM(AE40:AE42)</f>
        <v>778069</v>
      </c>
      <c r="AG43" s="223">
        <f>SUM(AG40:AG42)</f>
        <v>778069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153595.75</v>
      </c>
      <c r="G45" s="223">
        <f>G37-G43</f>
        <v>171963.38875000004</v>
      </c>
      <c r="I45" s="223">
        <f>I37-I43</f>
        <v>190595.79896875017</v>
      </c>
      <c r="K45" s="223">
        <f>K37-K43</f>
        <v>209492.75965646864</v>
      </c>
      <c r="M45" s="223">
        <f>M37-M43</f>
        <v>228653.80416627228</v>
      </c>
      <c r="O45" s="223">
        <f>O37-O43</f>
        <v>248078.20564448368</v>
      </c>
      <c r="Q45" s="223">
        <f>Q37-Q43</f>
        <v>267764.96181201097</v>
      </c>
      <c r="S45" s="223">
        <f>S37-S43</f>
        <v>287712.77906000544</v>
      </c>
      <c r="U45" s="223">
        <f>U37-U43</f>
        <v>307920.05583195481</v>
      </c>
      <c r="W45" s="223">
        <f>W37-W43</f>
        <v>328384.86526331818</v>
      </c>
      <c r="Y45" s="223">
        <f>Y37-Y43</f>
        <v>349104.93704868038</v>
      </c>
      <c r="AA45" s="223">
        <f>AA37-AA43</f>
        <v>370077.63850526838</v>
      </c>
      <c r="AC45" s="223">
        <f>AC37-AC43</f>
        <v>391299.95480046794</v>
      </c>
      <c r="AE45" s="223">
        <f>AE37-AE43</f>
        <v>412768.46830974286</v>
      </c>
      <c r="AG45" s="223">
        <f>AG37-AG43</f>
        <v>434479.33707008208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9.4697327007672791E-2</v>
      </c>
      <c r="G47" s="227">
        <f>G45/(G4+G6+G8)</f>
        <v>0.10343574599704532</v>
      </c>
      <c r="I47" s="227">
        <f>I45/(I4+I6+I8)</f>
        <v>0.11184694201928788</v>
      </c>
      <c r="K47" s="227">
        <f>K45/(K4+K6+K8)</f>
        <v>0.11993776265760933</v>
      </c>
      <c r="M47" s="227">
        <f>M45/(M4+M6+M8)</f>
        <v>0.12771487752223465</v>
      </c>
      <c r="O47" s="227">
        <f>O45/(O4+O6+O8)</f>
        <v>0.13518478248380975</v>
      </c>
      <c r="Q47" s="227">
        <f>Q45/(Q4+Q6+Q8)</f>
        <v>0.14235380380250579</v>
      </c>
      <c r="S47" s="227">
        <f>S45/(S4+S6+S8)</f>
        <v>0.14922810215536056</v>
      </c>
      <c r="U47" s="227">
        <f>U45/(U4+U6+U8)</f>
        <v>0.15581367656432338</v>
      </c>
      <c r="W47" s="227">
        <f>W45/(W4+W6+W8)</f>
        <v>0.16211636822742045</v>
      </c>
      <c r="Y47" s="227">
        <f>Y45/(Y4+Y6+Y8)</f>
        <v>0.1681418642553876</v>
      </c>
      <c r="AA47" s="227">
        <f>AA45/(AA4+AA6+AA8)</f>
        <v>0.17389570131606982</v>
      </c>
      <c r="AC47" s="227">
        <f>AC45/(AC4+AC6+AC8)</f>
        <v>0.17938326918882416</v>
      </c>
      <c r="AE47" s="227">
        <f>AE45/(AE4+AE6+AE8)</f>
        <v>0.18460981423111053</v>
      </c>
      <c r="AG47" s="227">
        <f>AG45/(AG4+AG6+AG8)</f>
        <v>0.18958044275940353</v>
      </c>
    </row>
    <row r="48" spans="1:33" s="227" customFormat="1" ht="14.25">
      <c r="A48" s="227" t="s">
        <v>852</v>
      </c>
      <c r="C48" s="220"/>
      <c r="E48" s="227">
        <f>E45/E43</f>
        <v>0.19740633542783481</v>
      </c>
      <c r="G48" s="227">
        <f>G45/G43</f>
        <v>0.22101303194189723</v>
      </c>
      <c r="I48" s="227">
        <f>I45/I43</f>
        <v>0.24496002150034274</v>
      </c>
      <c r="K48" s="227">
        <f>K45/K43</f>
        <v>0.26924702006694606</v>
      </c>
      <c r="M48" s="227">
        <f>M45/M43</f>
        <v>0.29387342789170662</v>
      </c>
      <c r="O48" s="227">
        <f>O45/O43</f>
        <v>0.31883831079825015</v>
      </c>
      <c r="Q48" s="227">
        <f>Q45/Q43</f>
        <v>0.34414038062435459</v>
      </c>
      <c r="S48" s="227">
        <f>S45/S43</f>
        <v>0.36977797478116392</v>
      </c>
      <c r="U48" s="227">
        <f>U45/U43</f>
        <v>0.39574903489530466</v>
      </c>
      <c r="W48" s="227">
        <f>W45/W43</f>
        <v>0.42205108449677109</v>
      </c>
      <c r="Y48" s="227">
        <f>Y45/Y43</f>
        <v>0.44868120571399245</v>
      </c>
      <c r="AA48" s="227">
        <f>AA45/AA43</f>
        <v>0.4756360149360383</v>
      </c>
      <c r="AC48" s="227">
        <f>AC45/AC43</f>
        <v>0.50291163740036926</v>
      </c>
      <c r="AE48" s="227">
        <f>AE45/AE43</f>
        <v>0.53050368066295261</v>
      </c>
      <c r="AG48" s="227">
        <f>AG45/AG43</f>
        <v>0.55840720690591972</v>
      </c>
    </row>
    <row r="49" spans="1:34" s="228" customFormat="1" ht="14.25">
      <c r="A49" s="228" t="s">
        <v>850</v>
      </c>
      <c r="C49" s="229"/>
      <c r="E49" s="228">
        <f>E37/E43</f>
        <v>1.1974063354278348</v>
      </c>
      <c r="G49" s="228">
        <f>G37/G43</f>
        <v>1.2210130319418973</v>
      </c>
      <c r="I49" s="228">
        <f>I37/I43</f>
        <v>1.2449600215003427</v>
      </c>
      <c r="K49" s="228">
        <f>K37/K43</f>
        <v>1.2692470200669461</v>
      </c>
      <c r="M49" s="228">
        <f>M37/M43</f>
        <v>1.2938734278917066</v>
      </c>
      <c r="O49" s="228">
        <f>O37/O43</f>
        <v>1.3188383107982502</v>
      </c>
      <c r="Q49" s="228">
        <f>Q37/Q43</f>
        <v>1.3441403806243546</v>
      </c>
      <c r="S49" s="228">
        <f>S37/S43</f>
        <v>1.369777974781164</v>
      </c>
      <c r="U49" s="228">
        <f>U37/U43</f>
        <v>1.3957490348953048</v>
      </c>
      <c r="W49" s="228">
        <f>W37/W43</f>
        <v>1.4220510844967711</v>
      </c>
      <c r="Y49" s="228">
        <f>Y37/Y43</f>
        <v>1.4486812057139924</v>
      </c>
      <c r="AA49" s="228">
        <f>AA37/AA43</f>
        <v>1.4756360149360384</v>
      </c>
      <c r="AC49" s="228">
        <f>AC37/AC43</f>
        <v>1.5029116374003693</v>
      </c>
      <c r="AE49" s="228">
        <f>AE37/AE43</f>
        <v>1.5305036806629526</v>
      </c>
      <c r="AG49" s="228">
        <f>AG37/AG43</f>
        <v>1.5584072069059198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153595.75</v>
      </c>
      <c r="G60" s="962">
        <f>G45-G58</f>
        <v>171963.38875000004</v>
      </c>
      <c r="I60" s="962">
        <f>I45-I58</f>
        <v>190595.79896875017</v>
      </c>
      <c r="K60" s="962">
        <f>K45-K58</f>
        <v>209492.75965646864</v>
      </c>
      <c r="M60" s="962">
        <f>M45-M58</f>
        <v>228653.80416627228</v>
      </c>
      <c r="O60" s="962">
        <f>O45-O58</f>
        <v>248078.20564448368</v>
      </c>
      <c r="Q60" s="962">
        <f>Q45-Q58</f>
        <v>267764.96181201097</v>
      </c>
      <c r="S60" s="962">
        <f>S45-S58</f>
        <v>287712.77906000544</v>
      </c>
      <c r="U60" s="962">
        <f>U45-U58</f>
        <v>307920.05583195481</v>
      </c>
      <c r="W60" s="962">
        <f>W45-W58</f>
        <v>328384.86526331818</v>
      </c>
      <c r="Y60" s="962">
        <f>Y45-Y58</f>
        <v>349104.93704868038</v>
      </c>
      <c r="AA60" s="962">
        <f>AA45-AA58</f>
        <v>370077.63850526838</v>
      </c>
      <c r="AC60" s="962">
        <f>AC45-AC58</f>
        <v>391299.95480046794</v>
      </c>
      <c r="AE60" s="962">
        <f>AE45-AE58</f>
        <v>412768.46830974286</v>
      </c>
      <c r="AG60" s="962">
        <f>AG45-AG58</f>
        <v>434479.33707008208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76797.875</v>
      </c>
      <c r="G62" s="962">
        <f>G60*$C$62</f>
        <v>85981.694375000021</v>
      </c>
      <c r="I62" s="962">
        <f>I60*$C$62</f>
        <v>95297.899484375084</v>
      </c>
      <c r="K62" s="962">
        <f>K60*$C$62</f>
        <v>104746.37982823432</v>
      </c>
      <c r="M62" s="962">
        <f>M60*$C$62</f>
        <v>114326.90208313614</v>
      </c>
      <c r="O62" s="962">
        <f>O60*$C$62</f>
        <v>124039.10282224184</v>
      </c>
      <c r="Q62" s="962">
        <f>Q60*$C$62</f>
        <v>133882.48090600548</v>
      </c>
      <c r="S62" s="962">
        <f>S60*$C$62</f>
        <v>143856.38953000272</v>
      </c>
      <c r="U62" s="962">
        <f>U60*$C$62</f>
        <v>153960.02791597741</v>
      </c>
      <c r="W62" s="962">
        <f>W60*$C$62</f>
        <v>164192.43263165909</v>
      </c>
      <c r="Y62" s="962">
        <f>Y60*$C$62</f>
        <v>174552.46852434019</v>
      </c>
      <c r="AA62" s="962">
        <f>AA60*$C$62</f>
        <v>185038.81925263419</v>
      </c>
      <c r="AC62" s="962">
        <f>AC60*$C$62</f>
        <v>195649.97740023397</v>
      </c>
      <c r="AE62" s="962">
        <f>AE60*$C$62</f>
        <v>206384.23415487143</v>
      </c>
      <c r="AG62" s="962">
        <f>AG60*$C$62</f>
        <v>217239.66853504104</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38398.9375</v>
      </c>
      <c r="G66" s="960">
        <f>G60*$C$65</f>
        <v>42990.84718750001</v>
      </c>
      <c r="I66" s="960">
        <f>I60*$C$65</f>
        <v>47648.949742187542</v>
      </c>
      <c r="K66" s="960">
        <f>K60*$C$65</f>
        <v>52373.18991411716</v>
      </c>
      <c r="M66" s="960">
        <f>M60*$C$65</f>
        <v>57163.451041568071</v>
      </c>
      <c r="O66" s="960">
        <f>O60*$C$65</f>
        <v>62019.55141112092</v>
      </c>
      <c r="Q66" s="960">
        <f>Q60*$C$65</f>
        <v>66941.240453002742</v>
      </c>
      <c r="S66" s="960">
        <f>S60*$C$65</f>
        <v>71928.194765001361</v>
      </c>
      <c r="U66" s="960">
        <f>U60*$C$65</f>
        <v>76980.013957988704</v>
      </c>
      <c r="W66" s="960">
        <f>W60*$C$65</f>
        <v>82096.216315829544</v>
      </c>
      <c r="Y66" s="960">
        <f>Y60*$C$65</f>
        <v>87276.234262170095</v>
      </c>
      <c r="AA66" s="960">
        <f>AA60*$C$65</f>
        <v>92519.409626317094</v>
      </c>
      <c r="AC66" s="960">
        <f>AC60*$C$65</f>
        <v>97824.988700116985</v>
      </c>
      <c r="AE66" s="960">
        <f>AE60*$C$65</f>
        <v>103192.11707743572</v>
      </c>
      <c r="AG66" s="960">
        <f>AG60*$C$65</f>
        <v>108619.83426752052</v>
      </c>
    </row>
    <row r="67" spans="1:34" s="960" customFormat="1">
      <c r="A67" s="965"/>
      <c r="B67" s="965"/>
      <c r="C67" s="970"/>
      <c r="E67" s="964">
        <f>$E60*$C$65</f>
        <v>38398.9375</v>
      </c>
      <c r="G67" s="960">
        <f>G60*$C$65</f>
        <v>42990.84718750001</v>
      </c>
      <c r="I67" s="960">
        <f>I60*$C$65</f>
        <v>47648.949742187542</v>
      </c>
      <c r="K67" s="960">
        <f>K60*$C$65</f>
        <v>52373.18991411716</v>
      </c>
      <c r="M67" s="960">
        <f>M60*$C$65</f>
        <v>57163.451041568071</v>
      </c>
      <c r="O67" s="960">
        <f>O60*$C$65</f>
        <v>62019.55141112092</v>
      </c>
      <c r="Q67" s="960">
        <f>Q60*$C$65</f>
        <v>66941.240453002742</v>
      </c>
      <c r="S67" s="960">
        <f>S60*$C$65</f>
        <v>71928.194765001361</v>
      </c>
      <c r="U67" s="960">
        <f>U60*$C$65</f>
        <v>76980.013957988704</v>
      </c>
      <c r="W67" s="960">
        <f>W60*$C$65</f>
        <v>82096.216315829544</v>
      </c>
      <c r="Y67" s="960">
        <f>Y60*$C$65</f>
        <v>87276.234262170095</v>
      </c>
      <c r="AA67" s="960">
        <f>AA60*$C$65</f>
        <v>92519.409626317094</v>
      </c>
      <c r="AC67" s="960">
        <f>AC60*$C$65</f>
        <v>97824.988700116985</v>
      </c>
      <c r="AE67" s="960">
        <f>AE60*$C$65</f>
        <v>103192.11707743572</v>
      </c>
      <c r="AG67" s="960">
        <f>AG60*$C$65</f>
        <v>108619.83426752052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76797.875</v>
      </c>
      <c r="G70" s="960">
        <f>SUM(G66:G69)</f>
        <v>85981.694375000021</v>
      </c>
      <c r="I70" s="960">
        <f>SUM(I66:I69)</f>
        <v>95297.899484375084</v>
      </c>
      <c r="K70" s="960">
        <f>SUM(K66:K69)</f>
        <v>104746.37982823432</v>
      </c>
      <c r="M70" s="960">
        <f>SUM(M66:M69)</f>
        <v>114326.90208313614</v>
      </c>
      <c r="O70" s="960">
        <f>SUM(O66:O69)</f>
        <v>124039.10282224184</v>
      </c>
      <c r="Q70" s="960">
        <f>SUM(Q66:Q69)</f>
        <v>133882.48090600548</v>
      </c>
      <c r="S70" s="960">
        <f>SUM(S66:S69)</f>
        <v>143856.38953000272</v>
      </c>
      <c r="U70" s="960">
        <f>SUM(U66:U69)</f>
        <v>153960.02791597741</v>
      </c>
      <c r="W70" s="960">
        <f>SUM(W66:W69)</f>
        <v>164192.43263165909</v>
      </c>
      <c r="Y70" s="960">
        <f>SUM(Y66:Y69)</f>
        <v>174552.46852434019</v>
      </c>
      <c r="AA70" s="960">
        <f>SUM(AA66:AA69)</f>
        <v>185038.81925263419</v>
      </c>
      <c r="AC70" s="960">
        <f>SUM(AC66:AC69)</f>
        <v>195649.97740023397</v>
      </c>
      <c r="AE70" s="960">
        <f>SUM(AE66:AE69)</f>
        <v>206384.23415487143</v>
      </c>
      <c r="AG70" s="960">
        <f>SUM(AG66:AG69)</f>
        <v>217239.66853504104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907223</v>
      </c>
      <c r="C5" s="266">
        <f>'Sources and Uses Budget'!$C4</f>
        <v>907223</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907223</v>
      </c>
      <c r="C9" s="270">
        <f>SUM(C5:C8)</f>
        <v>907223</v>
      </c>
      <c r="D9" s="270">
        <f t="shared" si="0"/>
        <v>0</v>
      </c>
      <c r="E9" s="268"/>
      <c r="F9" s="267"/>
    </row>
    <row r="10" spans="1:6" s="352" customFormat="1">
      <c r="A10" s="364" t="s">
        <v>594</v>
      </c>
      <c r="B10" s="266">
        <f>'Sources and Uses Budget'!$C9</f>
        <v>4424260</v>
      </c>
      <c r="C10" s="266">
        <f>'Sources and Uses Budget'!$C9</f>
        <v>4424260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4424260</v>
      </c>
      <c r="C12" s="270">
        <f>SUM(C10:C11)</f>
        <v>4424260</v>
      </c>
      <c r="D12" s="270">
        <f t="shared" si="0"/>
        <v>0</v>
      </c>
      <c r="E12" s="268"/>
      <c r="F12" s="267"/>
    </row>
    <row r="13" spans="1:6" s="352" customFormat="1">
      <c r="A13" s="365" t="s">
        <v>84</v>
      </c>
      <c r="B13" s="270">
        <f>SUM(B9+B12)</f>
        <v>5331483</v>
      </c>
      <c r="C13" s="270">
        <f>SUM(C9+C12)</f>
        <v>5331483</v>
      </c>
      <c r="D13" s="270">
        <f t="shared" si="0"/>
        <v>0</v>
      </c>
      <c r="E13" s="268"/>
      <c r="F13" s="267"/>
    </row>
    <row r="14" spans="1:6" s="352" customFormat="1">
      <c r="A14" s="366" t="s">
        <v>902</v>
      </c>
      <c r="B14" s="266">
        <f>'Sources and Uses Budget'!$C13</f>
        <v>5000</v>
      </c>
      <c r="C14" s="266">
        <f>'Sources and Uses Budget'!$C13</f>
        <v>5000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5120000</v>
      </c>
      <c r="C19" s="266">
        <f>'Sources and Uses Budget'!$C18</f>
        <v>5120000</v>
      </c>
      <c r="D19" s="270">
        <f t="shared" si="0"/>
        <v>0</v>
      </c>
      <c r="E19" s="268"/>
      <c r="F19" s="267"/>
    </row>
    <row r="20" spans="1:6" s="352" customFormat="1">
      <c r="A20" s="145" t="s">
        <v>600</v>
      </c>
      <c r="B20" s="266">
        <f>'Sources and Uses Budget'!$C19</f>
        <v>307200</v>
      </c>
      <c r="C20" s="266">
        <f>'Sources and Uses Budget'!$C19</f>
        <v>307200</v>
      </c>
      <c r="D20" s="270">
        <f t="shared" si="0"/>
        <v>0</v>
      </c>
      <c r="E20" s="268"/>
      <c r="F20" s="267"/>
    </row>
    <row r="21" spans="1:6" s="352" customFormat="1">
      <c r="A21" s="145" t="s">
        <v>137</v>
      </c>
      <c r="B21" s="266">
        <f>'Sources and Uses Budget'!$C20</f>
        <v>307200</v>
      </c>
      <c r="C21" s="266">
        <f>'Sources and Uses Budget'!$C20</f>
        <v>307200</v>
      </c>
      <c r="D21" s="270">
        <f t="shared" si="0"/>
        <v>0</v>
      </c>
      <c r="E21" s="268"/>
      <c r="F21" s="267"/>
    </row>
    <row r="22" spans="1:6" s="352" customFormat="1">
      <c r="A22" s="145" t="s">
        <v>138</v>
      </c>
      <c r="B22" s="266">
        <f>'Sources and Uses Budget'!$C21</f>
        <v>102400</v>
      </c>
      <c r="C22" s="266">
        <f>'Sources and Uses Budget'!$C21</f>
        <v>102400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64000</v>
      </c>
      <c r="C24" s="266">
        <f>'Sources and Uses Budget'!$C23</f>
        <v>64000</v>
      </c>
      <c r="D24" s="270">
        <f t="shared" si="0"/>
        <v>0</v>
      </c>
      <c r="E24" s="268"/>
      <c r="F24" s="267"/>
    </row>
    <row r="25" spans="1:6" s="352" customFormat="1">
      <c r="A25" s="508" t="s">
        <v>1640</v>
      </c>
      <c r="B25" s="266">
        <f>'Sources and Uses Budget'!$C24</f>
        <v>35000</v>
      </c>
      <c r="C25" s="266">
        <f>'Sources and Uses Budget'!$C24</f>
        <v>35000</v>
      </c>
      <c r="D25" s="270">
        <f t="shared" si="0"/>
        <v>0</v>
      </c>
      <c r="E25" s="268"/>
      <c r="F25" s="267"/>
    </row>
    <row r="26" spans="1:6" s="352" customFormat="1">
      <c r="A26" s="155" t="str">
        <f>'Sources and Uses Budget'!A25</f>
        <v>P&amp;P Bond</v>
      </c>
      <c r="B26" s="266">
        <f>'Sources and Uses Budget'!$C25</f>
        <v>89000</v>
      </c>
      <c r="C26" s="266">
        <f>'Sources and Uses Budget'!$C25</f>
        <v>89000</v>
      </c>
      <c r="D26" s="270">
        <f t="shared" si="0"/>
        <v>0</v>
      </c>
      <c r="E26" s="268"/>
      <c r="F26" s="267"/>
    </row>
    <row r="27" spans="1:6" s="352" customFormat="1">
      <c r="A27" s="1018" t="s">
        <v>133</v>
      </c>
      <c r="B27" s="270">
        <f>SUM(B18:B26)</f>
        <v>6024800</v>
      </c>
      <c r="C27" s="270">
        <f>SUM(C18:C26)</f>
        <v>6024800</v>
      </c>
      <c r="D27" s="270">
        <f>SUM(D18:D26)</f>
        <v>0</v>
      </c>
      <c r="E27" s="268"/>
      <c r="F27" s="267"/>
    </row>
    <row r="28" spans="1:6" s="352" customFormat="1">
      <c r="A28" s="271" t="s">
        <v>141</v>
      </c>
      <c r="B28" s="266">
        <f>'Sources and Uses Budget'!$C$27</f>
        <v>192000</v>
      </c>
      <c r="C28" s="266">
        <f>'Sources and Uses Budget'!$C$27</f>
        <v>192000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120000</v>
      </c>
      <c r="C41" s="266">
        <f>'Sources and Uses Budget'!$C40</f>
        <v>120000</v>
      </c>
      <c r="D41" s="270">
        <f t="shared" si="0"/>
        <v>0</v>
      </c>
      <c r="E41" s="268"/>
      <c r="F41" s="267"/>
    </row>
    <row r="42" spans="1:6" s="352" customFormat="1">
      <c r="A42" s="269" t="s">
        <v>146</v>
      </c>
      <c r="B42" s="266">
        <f>'Sources and Uses Budget'!$C41</f>
        <v>30000</v>
      </c>
      <c r="C42" s="266">
        <f>'Sources and Uses Budget'!$C41</f>
        <v>30000</v>
      </c>
      <c r="D42" s="270">
        <f t="shared" si="0"/>
        <v>0</v>
      </c>
      <c r="E42" s="268"/>
      <c r="F42" s="267"/>
    </row>
    <row r="43" spans="1:6" s="352" customFormat="1">
      <c r="A43" s="271" t="s">
        <v>147</v>
      </c>
      <c r="B43" s="270">
        <f>SUM(B41:B42)</f>
        <v>150000</v>
      </c>
      <c r="C43" s="270">
        <f>SUM(C41:C42)</f>
        <v>150000</v>
      </c>
      <c r="D43" s="270">
        <f t="shared" si="0"/>
        <v>0</v>
      </c>
      <c r="E43" s="268"/>
      <c r="F43" s="267"/>
    </row>
    <row r="44" spans="1:6" s="352" customFormat="1">
      <c r="A44" s="271" t="s">
        <v>148</v>
      </c>
      <c r="B44" s="266">
        <f>'Sources and Uses Budget'!$C43</f>
        <v>98683</v>
      </c>
      <c r="C44" s="266">
        <f>'Sources and Uses Budget'!$C43</f>
        <v>98683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728213</v>
      </c>
      <c r="C46" s="266">
        <f>'Sources and Uses Budget'!$C45</f>
        <v>728213</v>
      </c>
      <c r="D46" s="270">
        <f t="shared" si="0"/>
        <v>0</v>
      </c>
      <c r="E46" s="268"/>
      <c r="F46" s="267"/>
    </row>
    <row r="47" spans="1:6" s="352" customFormat="1">
      <c r="A47" s="145" t="s">
        <v>151</v>
      </c>
      <c r="B47" s="266">
        <f>'Sources and Uses Budget'!$C46</f>
        <v>76500</v>
      </c>
      <c r="C47" s="266">
        <f>'Sources and Uses Budget'!$C46</f>
        <v>76500</v>
      </c>
      <c r="D47" s="270">
        <f t="shared" si="0"/>
        <v>0</v>
      </c>
      <c r="E47" s="268"/>
      <c r="F47" s="267"/>
    </row>
    <row r="48" spans="1:6" s="352" customFormat="1" ht="12" customHeight="1">
      <c r="A48" s="186" t="s">
        <v>152</v>
      </c>
      <c r="B48" s="266">
        <f>'Sources and Uses Budget'!$C47</f>
        <v>180000</v>
      </c>
      <c r="C48" s="266">
        <f>'Sources and Uses Budget'!$C47</f>
        <v>180000</v>
      </c>
      <c r="D48" s="270">
        <f t="shared" si="0"/>
        <v>0</v>
      </c>
      <c r="E48" s="268"/>
      <c r="F48" s="267"/>
    </row>
    <row r="49" spans="1:6" s="352" customFormat="1">
      <c r="A49" s="145" t="s">
        <v>153</v>
      </c>
      <c r="B49" s="266">
        <f>'Sources and Uses Budget'!$C48</f>
        <v>194696</v>
      </c>
      <c r="C49" s="266">
        <f>'Sources and Uses Budget'!$C48</f>
        <v>194696</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175000</v>
      </c>
      <c r="C51" s="266">
        <f>'Sources and Uses Budget'!$C50</f>
        <v>175000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30791</v>
      </c>
      <c r="C53" s="266">
        <f>'Sources and Uses Budget'!$C52</f>
        <v>30791</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1385200</v>
      </c>
      <c r="C55" s="273">
        <f>SUM(C46:C54)</f>
        <v>1385200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56710</v>
      </c>
      <c r="C57" s="266">
        <f>'Sources and Uses Budget'!$C56</f>
        <v>56710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56710</v>
      </c>
      <c r="C63" s="270">
        <f>SUM(C57:C62)</f>
        <v>56710</v>
      </c>
      <c r="D63" s="270">
        <f t="shared" si="0"/>
        <v>0</v>
      </c>
      <c r="E63" s="268"/>
      <c r="F63" s="267"/>
    </row>
    <row r="64" spans="1:6" s="352" customFormat="1">
      <c r="A64" s="274" t="s">
        <v>302</v>
      </c>
      <c r="B64" s="270">
        <f>SUM(B9+B12+B14+B15+B17+B26+B28+B39+B43+B44+B55+B63)</f>
        <v>7308076</v>
      </c>
      <c r="C64" s="270">
        <f>SUM(C9+C12+C14+C15+C17+C26+C28+C39+C43+C44+C55+C63)</f>
        <v>7308076</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175000</v>
      </c>
      <c r="C66" s="266">
        <f>'Sources and Uses Budget'!$C65</f>
        <v>175000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175000</v>
      </c>
      <c r="C71" s="270">
        <f>SUM(C66:C70)</f>
        <v>175000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327000</v>
      </c>
      <c r="C74" s="266">
        <f>'Sources and Uses Budget'!$C73</f>
        <v>327000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327000</v>
      </c>
      <c r="C78" s="270">
        <f>SUM(C73:C77)</f>
        <v>327000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596481</v>
      </c>
      <c r="C80" s="266">
        <f>'Sources and Uses Budget'!$C79</f>
        <v>596481</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1209</v>
      </c>
      <c r="B82" s="270">
        <f>SUM(B80:B81)</f>
        <v>746481</v>
      </c>
      <c r="C82" s="270">
        <f>SUM(C80:C81)</f>
        <v>746481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127526</v>
      </c>
      <c r="C84" s="266">
        <f>'Sources and Uses Budget'!$C83</f>
        <v>127526</v>
      </c>
      <c r="D84" s="270">
        <f t="shared" si="1"/>
        <v>0</v>
      </c>
      <c r="E84" s="268"/>
      <c r="F84" s="267"/>
    </row>
    <row r="85" spans="1:6" s="352" customFormat="1">
      <c r="A85" s="269" t="s">
        <v>767</v>
      </c>
      <c r="B85" s="266">
        <f>'Sources and Uses Budget'!$C84</f>
        <v>92500</v>
      </c>
      <c r="C85" s="266">
        <f>'Sources and Uses Budget'!$C84</f>
        <v>92500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80000</v>
      </c>
      <c r="C87" s="266">
        <f>'Sources and Uses Budget'!$C86</f>
        <v>80000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18750</v>
      </c>
      <c r="C91" s="266">
        <f>'Sources and Uses Budget'!$C90</f>
        <v>18750</v>
      </c>
      <c r="D91" s="270">
        <f t="shared" si="1"/>
        <v>0</v>
      </c>
      <c r="E91" s="268"/>
      <c r="F91" s="267"/>
    </row>
    <row r="92" spans="1:6" s="352" customFormat="1">
      <c r="A92" s="269" t="s">
        <v>372</v>
      </c>
      <c r="B92" s="266">
        <f>'Sources and Uses Budget'!$C91</f>
        <v>30000</v>
      </c>
      <c r="C92" s="266">
        <f>'Sources and Uses Budget'!$C91</f>
        <v>30000</v>
      </c>
      <c r="D92" s="270">
        <f t="shared" si="1"/>
        <v>0</v>
      </c>
      <c r="E92" s="268"/>
      <c r="F92" s="267"/>
    </row>
    <row r="93" spans="1:6" s="352" customFormat="1">
      <c r="A93" s="510" t="s">
        <v>1211</v>
      </c>
      <c r="B93" s="266">
        <f>'Sources and Uses Budget'!$C92</f>
        <v>18750</v>
      </c>
      <c r="C93" s="266">
        <f>'Sources and Uses Budget'!$C92</f>
        <v>18750</v>
      </c>
      <c r="D93" s="270">
        <f t="shared" si="1"/>
        <v>0</v>
      </c>
      <c r="E93" s="268"/>
      <c r="F93" s="267"/>
    </row>
    <row r="94" spans="1:6" s="352" customFormat="1">
      <c r="A94" s="272" t="s">
        <v>34</v>
      </c>
      <c r="B94" s="266">
        <f>'Sources and Uses Budget'!$C93</f>
        <v>167500</v>
      </c>
      <c r="C94" s="266">
        <f>'Sources and Uses Budget'!$C93</f>
        <v>167500</v>
      </c>
      <c r="D94" s="270">
        <f t="shared" si="1"/>
        <v>0</v>
      </c>
      <c r="E94" s="268"/>
      <c r="F94" s="267"/>
    </row>
    <row r="95" spans="1:6" s="352" customFormat="1">
      <c r="A95" s="272" t="s">
        <v>34</v>
      </c>
      <c r="B95" s="266">
        <f>'Sources and Uses Budget'!$C94</f>
        <v>119000</v>
      </c>
      <c r="C95" s="266">
        <f>'Sources and Uses Budget'!$C94</f>
        <v>119000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654026</v>
      </c>
      <c r="C97" s="270">
        <f>SUM(C84:C96)</f>
        <v>654026</v>
      </c>
      <c r="D97" s="270">
        <f t="shared" si="1"/>
        <v>0</v>
      </c>
      <c r="E97" s="268"/>
      <c r="F97" s="267"/>
    </row>
    <row r="98" spans="1:6" s="352" customFormat="1">
      <c r="A98" s="271" t="s">
        <v>775</v>
      </c>
      <c r="B98" s="270">
        <f>SUM(B64+B71+B78+B82+B97)</f>
        <v>9210583</v>
      </c>
      <c r="C98" s="270">
        <f>SUM(C64+C71+C78+C82+C97)</f>
        <v>9210583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1784206</v>
      </c>
      <c r="C100" s="266">
        <f>'Sources and Uses Budget'!$C99</f>
        <v>1784206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1784206</v>
      </c>
      <c r="C105" s="270">
        <f>SUM(C100:C104)</f>
        <v>1784206</v>
      </c>
      <c r="D105" s="270">
        <f t="shared" si="1"/>
        <v>0</v>
      </c>
      <c r="E105" s="268"/>
      <c r="F105" s="267"/>
    </row>
    <row r="106" spans="1:6" s="352" customFormat="1">
      <c r="A106" s="271" t="s">
        <v>780</v>
      </c>
      <c r="B106" s="273">
        <f>SUM(B98+B105)</f>
        <v>10994789</v>
      </c>
      <c r="C106" s="273">
        <f>SUM(C98+C105)</f>
        <v>10994789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19" workbookViewId="0">
      <selection activeCell="B177" sqref="B17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2712</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2712</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2711</v>
      </c>
      <c r="D24" s="1301" t="s">
        <v>1091</v>
      </c>
      <c r="E24" s="1301"/>
      <c r="F24" s="1301"/>
      <c r="I24" s="490"/>
    </row>
    <row r="25" spans="1:9" ht="14.25">
      <c r="A25" s="484"/>
      <c r="B25" s="484"/>
      <c r="D25" s="1301"/>
      <c r="E25" s="1301"/>
      <c r="F25" s="1301"/>
      <c r="I25" s="490"/>
    </row>
    <row r="26" spans="1:9">
      <c r="I26" s="490"/>
    </row>
    <row r="27" spans="1:9" ht="14.25">
      <c r="A27" s="484"/>
      <c r="B27" s="485" t="s">
        <v>2712</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2711</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2712</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2711</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2711</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2712</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2712</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2711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2711</v>
      </c>
      <c r="D65" s="1301" t="s">
        <v>1097</v>
      </c>
      <c r="E65" s="1301"/>
      <c r="F65" s="1301"/>
      <c r="I65" s="490"/>
    </row>
    <row r="66" spans="1:9">
      <c r="D66" s="1301"/>
      <c r="E66" s="1301"/>
      <c r="F66" s="1301"/>
      <c r="I66" s="490"/>
    </row>
    <row r="67" spans="1:9">
      <c r="I67" s="490"/>
    </row>
    <row r="68" spans="1:9" ht="14.25">
      <c r="A68" s="484"/>
      <c r="B68" s="485" t="s">
        <v>2712</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2712</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2712</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2712</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2712</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2712</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2711</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2711</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2711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2712</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2711</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2711</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2711</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2711</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2712</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2711</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2712</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2711</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2711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2712</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2712</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2712</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2711</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2712</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2712</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2712</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2711</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2712</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2712</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2712</v>
      </c>
      <c r="D305" s="1299" t="s">
        <v>1129</v>
      </c>
      <c r="E305" s="1299"/>
      <c r="F305" s="1299"/>
      <c r="I305" s="490"/>
    </row>
    <row r="306" spans="1:9" ht="14.25">
      <c r="A306" s="484"/>
      <c r="B306" s="484"/>
      <c r="D306" s="494"/>
      <c r="E306" s="495"/>
      <c r="F306" s="495"/>
      <c r="I306" s="490"/>
    </row>
    <row r="307" spans="1:9" ht="13.7" customHeight="1">
      <c r="B307" s="485" t="s">
        <v>2711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2712</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2712</v>
      </c>
      <c r="D316" s="1299" t="s">
        <v>1131</v>
      </c>
      <c r="E316" s="1299"/>
      <c r="F316" s="1299"/>
      <c r="I316" s="490"/>
    </row>
    <row r="317" spans="1:9">
      <c r="E317" s="446"/>
      <c r="F317" s="446"/>
      <c r="I317" s="490"/>
    </row>
    <row r="318" spans="1:9" ht="14.25">
      <c r="A318" s="484"/>
      <c r="B318" s="485" t="s">
        <v>2712</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2712</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2712</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2712</v>
      </c>
      <c r="C360" s="476"/>
      <c r="D360" s="1318" t="s">
        <v>2057</v>
      </c>
      <c r="E360" s="1318"/>
      <c r="F360" s="1318"/>
      <c r="I360" s="480"/>
    </row>
    <row r="361" spans="1:9">
      <c r="A361" s="476"/>
      <c r="B361" s="476"/>
      <c r="C361" s="476"/>
      <c r="D361" s="447"/>
      <c r="E361" s="447"/>
      <c r="F361" s="446"/>
      <c r="I361" s="490"/>
    </row>
    <row r="362" spans="1:9">
      <c r="A362" s="476"/>
      <c r="B362" s="485" t="s">
        <v>2711</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2711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2711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2712</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2712</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2712</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2711</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2712</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2712</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2712</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2711</v>
      </c>
      <c r="C486" s="402"/>
      <c r="D486" s="1301"/>
      <c r="E486" s="1301"/>
      <c r="F486" s="1301"/>
      <c r="I486" s="490"/>
    </row>
    <row r="487" spans="1:9">
      <c r="A487" s="402"/>
      <c r="C487" s="402"/>
      <c r="D487" s="1301"/>
      <c r="E487" s="1301"/>
      <c r="F487" s="1301"/>
      <c r="I487" s="490"/>
    </row>
    <row r="488" spans="1:9">
      <c r="A488" s="402"/>
      <c r="B488" s="485" t="s">
        <v>2711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2712</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2712</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2711</v>
      </c>
      <c r="D509" s="1299" t="s">
        <v>1143</v>
      </c>
      <c r="E509" s="1299"/>
      <c r="F509" s="1299"/>
      <c r="I509" s="490"/>
    </row>
    <row r="510" spans="1:9" ht="14.25">
      <c r="A510" s="484"/>
      <c r="B510" s="484"/>
      <c r="D510" s="446"/>
      <c r="I510" s="490"/>
    </row>
    <row r="511" spans="1:9" ht="14.25">
      <c r="A511" s="484"/>
      <c r="B511" s="485" t="s">
        <v>2711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2711</v>
      </c>
      <c r="D514" s="1299" t="s">
        <v>1145</v>
      </c>
      <c r="E514" s="1299"/>
      <c r="F514" s="1299"/>
      <c r="I514" s="490"/>
    </row>
    <row r="515" spans="1:9">
      <c r="D515" s="446"/>
      <c r="E515" s="446"/>
      <c r="F515" s="446"/>
      <c r="I515" s="490"/>
    </row>
    <row r="516" spans="1:9">
      <c r="B516" s="485" t="s">
        <v>2711</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2712</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2711</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2711</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2712</v>
      </c>
      <c r="C548" s="487"/>
      <c r="D548" s="1299" t="s">
        <v>884</v>
      </c>
      <c r="E548" s="1299"/>
      <c r="F548" s="1299"/>
      <c r="I548" s="490"/>
    </row>
    <row r="549" spans="1:9" ht="13.7" customHeight="1">
      <c r="A549" s="487"/>
      <c r="B549" s="487"/>
      <c r="C549" s="487"/>
      <c r="D549" s="446"/>
      <c r="I549" s="490"/>
    </row>
    <row r="550" spans="1:9" ht="14.25">
      <c r="A550" s="484"/>
      <c r="B550" s="485" t="s">
        <v>2712</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2712</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2712</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2712</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2711</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2712</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2712</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2712</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2712</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2712</v>
      </c>
      <c r="D588" s="1313" t="s">
        <v>888</v>
      </c>
      <c r="E588" s="1313"/>
      <c r="F588" s="1313"/>
      <c r="I588" s="490"/>
    </row>
    <row r="589" spans="1:9">
      <c r="A589" s="490"/>
      <c r="B589" s="490"/>
      <c r="D589" s="476"/>
      <c r="I589" s="490"/>
    </row>
    <row r="590" spans="1:9">
      <c r="A590" s="490"/>
      <c r="B590" s="485" t="s">
        <v>2712</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2712</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2711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2712</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2712</v>
      </c>
      <c r="D620" s="1307" t="s">
        <v>1111</v>
      </c>
      <c r="E620" s="1307"/>
      <c r="F620" s="1307"/>
      <c r="I620" s="490"/>
    </row>
    <row r="621" spans="1:9">
      <c r="D621" s="1307"/>
      <c r="E621" s="1307"/>
      <c r="F621" s="1307"/>
      <c r="I621" s="490"/>
    </row>
    <row r="622" spans="1:9">
      <c r="I622" s="490"/>
    </row>
    <row r="623" spans="1:9">
      <c r="B623" s="485" t="s">
        <v>2712</v>
      </c>
      <c r="D623" s="1307" t="s">
        <v>1112</v>
      </c>
      <c r="E623" s="1307"/>
      <c r="F623" s="1307"/>
      <c r="I623" s="490"/>
    </row>
    <row r="624" spans="1:9">
      <c r="C624" s="500"/>
      <c r="D624" s="1307"/>
      <c r="E624" s="1307"/>
      <c r="F624" s="1307"/>
      <c r="I624" s="490"/>
    </row>
    <row r="625" spans="1:9">
      <c r="C625" s="500"/>
      <c r="I625" s="490"/>
    </row>
    <row r="626" spans="1:9">
      <c r="B626" s="485" t="s">
        <v>2711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2712</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2712</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2712</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2712</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2712</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2711</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2712</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2712</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2711</v>
      </c>
      <c r="C698" s="483"/>
      <c r="D698" s="1299" t="s">
        <v>2470</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2711</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2711</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2711</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2711</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2711</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2712</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2712</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2711</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2712</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2712</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2711</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2712</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2711</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2711</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2712</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2712</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2711</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2711</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2712</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2712</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2711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2712</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2712</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2711</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2711</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2711</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2712</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2712</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2711</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2711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2711</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2712</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2711</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2711</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2711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2712</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2712</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2711</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2712</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2711</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2712</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2711</v>
      </c>
      <c r="C1062" s="402"/>
      <c r="D1062" s="402" t="s">
        <v>1812</v>
      </c>
      <c r="I1062" s="490"/>
    </row>
    <row r="1063" spans="1:9">
      <c r="A1063" s="402"/>
      <c r="B1063" s="402"/>
      <c r="C1063" s="402"/>
      <c r="I1063" s="490"/>
    </row>
    <row r="1064" spans="1:9">
      <c r="A1064" s="402"/>
      <c r="B1064" s="485" t="s">
        <v>2711</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2712</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2711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2711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2711</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2711</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2711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2712</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2711</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2711</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8" workbookViewId="0">
      <selection activeCell="T728" sqref="T728:W7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29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2.95"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5"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0</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34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Prospect Avenue Senior, Prospect Villa and Propect Villa III</v>
      </c>
    </row>
    <row r="17" spans="1:58" ht="12.95" customHeight="1">
      <c r="BD17" s="1247" t="s">
        <v>2520</v>
      </c>
      <c r="BE17" s="1249">
        <f>Application!AA934</f>
        <v>0</v>
      </c>
    </row>
    <row r="18" spans="1:58" ht="12.95" customHeight="1">
      <c r="A18" s="57" t="s">
        <v>101</v>
      </c>
      <c r="C18" s="4"/>
      <c r="D18" s="4"/>
      <c r="E18" s="4"/>
      <c r="F18" s="4"/>
      <c r="G18" s="4"/>
      <c r="H18" s="1417" t="s">
        <v>2715</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572566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7750000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16930589</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907223</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45803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9">
        <f>'Basis &amp; Credits'!AB56</f>
        <v>572566</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Central Coast Region: Monterey, San Luis Obispo, Santa Barbara, Santa Cruz, and Ventura Counties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190 East Park Street; 960 and 998 Prospect Avenue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Hollister</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San Benito</v>
      </c>
    </row>
    <row r="38" spans="1:57" ht="12.95" customHeight="1">
      <c r="A38" s="3"/>
      <c r="AZ38" s="20"/>
      <c r="BD38" s="1248" t="s">
        <v>2536</v>
      </c>
      <c r="BE38" s="1249">
        <f>Application!I190</f>
        <v>95023</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64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63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0.46190476190476187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0.46162859929819228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264540.453125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14</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Bettencourt Properties,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Ronald D. Bettencourt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The Beneficial Housing Foundation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Kimberley McClintock</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Community Preservation Partners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17782 Sky Park Circle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92614</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Karen Buckland</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kbuckland@cpp-housing.com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0.85000098000000002</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Yes</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CMFA</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2569</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2570</v>
      </c>
      <c r="BE76" s="1249">
        <f>'Points System'!AF811</f>
        <v>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2.5163772903225805</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Hollister - Redevelopment Program</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Willa Aviera</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RDA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375 Fifth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Hollister</v>
      </c>
    </row>
    <row r="89" spans="1:57" ht="12.95"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2583</v>
      </c>
      <c r="BE89" s="1249">
        <f>Application!O158</f>
        <v>95023</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2584</v>
      </c>
      <c r="BE90" s="1249" t="str">
        <f>Application!H16</f>
        <v>Hollister Investment Group,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531 Mill Road</v>
      </c>
    </row>
    <row r="92" spans="1:57" ht="12.95"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2586</v>
      </c>
      <c r="BE92" s="1249" t="str">
        <f>Application!M234</f>
        <v>Auburn</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2587</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2588</v>
      </c>
      <c r="BE94" s="1249">
        <f>Application!AC234</f>
        <v>95603</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2589</v>
      </c>
      <c r="BE95" s="1249" t="str">
        <f>Application!M235</f>
        <v>Ronald D. Bettencourt</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2590</v>
      </c>
      <c r="BE96" s="1249" t="str">
        <f>Application!M237</f>
        <v>beneficialhousing@gmail.com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2591</v>
      </c>
      <c r="BE97" s="1249" t="str">
        <f>Application!M248</f>
        <v>beneficialhousing@gmail.com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2592</v>
      </c>
      <c r="BE98" s="1249" t="str">
        <f>Application!M256</f>
        <v>beneficialhousing@gmail.com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2594</v>
      </c>
      <c r="BE100" s="1249" t="str">
        <f>Application!L279</f>
        <v>kbuckland@cpp-housing.com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16930589</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San Benito</v>
      </c>
      <c r="DH122" s="1657"/>
      <c r="DI122" s="1657"/>
      <c r="DJ122" s="1657"/>
      <c r="DK122" s="1657"/>
      <c r="DL122" s="1657"/>
      <c r="DM122" s="1658"/>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7" t="s">
        <v>2613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47"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2615</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2617</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95023</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t="s">
        <v>2618</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3" t="s">
        <v>2619</v>
      </c>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7" t="s">
        <v>2620</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669</v>
      </c>
      <c r="V175" s="1332"/>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7"/>
      <c r="V176" s="1427"/>
      <c r="W176" s="1" t="s">
        <v>306</v>
      </c>
      <c r="X176" s="1786"/>
      <c r="Y176" s="1786"/>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669</v>
      </c>
      <c r="S177" s="1332"/>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5"/>
      <c r="AG178" s="1785"/>
      <c r="AH178" s="1" t="s">
        <v>306</v>
      </c>
      <c r="AI178" s="1806"/>
      <c r="AJ178" s="1806"/>
      <c r="AK178" s="1806"/>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545</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Prospect Avenue Senior, Prospect Villa and Propect Villa III</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9" t="s">
        <v>2716</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2617</v>
      </c>
      <c r="J189" s="1372"/>
      <c r="K189" s="1372"/>
      <c r="L189" s="1372"/>
      <c r="M189" s="1372"/>
      <c r="N189" s="1372"/>
      <c r="O189" s="1372"/>
      <c r="P189" s="1372"/>
      <c r="Q189" t="s">
        <v>582</v>
      </c>
      <c r="T189" s="1372" t="s">
        <v>727</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95023</v>
      </c>
      <c r="J190" s="1349"/>
      <c r="K190" s="1349"/>
      <c r="L190" s="1349"/>
      <c r="M190" s="1349"/>
      <c r="N190" s="1349"/>
      <c r="O190" t="s">
        <v>585</v>
      </c>
      <c r="T190" s="1792">
        <v>7.02</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5" t="s">
        <v>2717</v>
      </c>
      <c r="O191" s="1805"/>
      <c r="P191" s="1805"/>
      <c r="Q191" s="1805"/>
      <c r="R191" s="1805"/>
      <c r="S191" s="1805"/>
      <c r="T191" s="1805"/>
      <c r="U191" s="1805"/>
      <c r="V191" s="1805"/>
      <c r="W191" s="1805"/>
      <c r="X191" s="1805"/>
      <c r="Y191" s="1805"/>
      <c r="Z191" s="1805"/>
      <c r="AA191" s="1805"/>
      <c r="AB191" s="1805"/>
      <c r="AC191" s="1805"/>
      <c r="AD191" s="1805"/>
      <c r="AE191" s="180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1971</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2" t="s">
        <v>669</v>
      </c>
      <c r="U195" s="1332"/>
      <c r="W195" t="s">
        <v>684</v>
      </c>
      <c r="AH195" s="1332">
        <v>18</v>
      </c>
      <c r="AI195" s="1332"/>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3" t="s">
        <v>669</v>
      </c>
      <c r="U196" s="1403"/>
      <c r="W196" t="s">
        <v>685</v>
      </c>
      <c r="AH196" s="1332">
        <v>29</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2">
        <v>17</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v>0</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4">
        <f>M26</f>
        <v>572566</v>
      </c>
      <c r="Q204" s="1784"/>
      <c r="R204" s="1784"/>
      <c r="S204" s="1784"/>
      <c r="T204" s="1784"/>
      <c r="U204" s="178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4" t="s">
        <v>1247</v>
      </c>
      <c r="E205" s="1359"/>
      <c r="F205" s="1359"/>
      <c r="G205" s="1359"/>
      <c r="H205" s="1359"/>
      <c r="I205" s="1359"/>
      <c r="J205" s="1359"/>
      <c r="K205" s="1359"/>
      <c r="L205" s="1359"/>
      <c r="M205" s="1359"/>
      <c r="P205" s="1784">
        <f>M27</f>
        <v>0</v>
      </c>
      <c r="Q205" s="1784"/>
      <c r="R205" s="1784"/>
      <c r="S205" s="1784"/>
      <c r="T205" s="1784"/>
      <c r="U205" s="1784"/>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2621</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98">
        <f>IFERROR(Q212/AG440,0)</f>
        <v>0</v>
      </c>
      <c r="U212" s="179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418" t="s">
        <v>2207</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2466</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3" t="str">
        <f>H16</f>
        <v>Hollister Investment Group,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2622</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2623</v>
      </c>
      <c r="N234" s="1418"/>
      <c r="O234" s="1418"/>
      <c r="P234" s="1418"/>
      <c r="Q234" s="1418"/>
      <c r="R234" s="1418"/>
      <c r="S234" s="1418"/>
      <c r="T234" s="1418"/>
      <c r="V234" s="33" t="s">
        <v>86</v>
      </c>
      <c r="W234" s="1547" t="s">
        <v>2624</v>
      </c>
      <c r="X234" s="1438"/>
      <c r="Y234" s="4" t="s">
        <v>583</v>
      </c>
      <c r="AC234" s="1418">
        <v>95603</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2714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2625</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7" t="s">
        <v>2626</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79"/>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2713</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2627</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tr">
        <f>M233</f>
        <v>531 Mill Road</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7" t="s">
        <v>2623</v>
      </c>
      <c r="N245" s="1418"/>
      <c r="O245" s="1418"/>
      <c r="P245" s="1418"/>
      <c r="Q245" s="1418"/>
      <c r="R245" s="1418"/>
      <c r="S245" s="1418"/>
      <c r="T245" s="1418"/>
      <c r="V245" s="33" t="s">
        <v>86</v>
      </c>
      <c r="W245" s="1547" t="s">
        <v>2624</v>
      </c>
      <c r="X245" s="1438"/>
      <c r="Y245" s="4" t="s">
        <v>583</v>
      </c>
      <c r="AC245" s="1418">
        <v>95603</v>
      </c>
      <c r="AD245" s="1418"/>
      <c r="AE245" s="1418"/>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2714</v>
      </c>
      <c r="N246" s="1418"/>
      <c r="O246" s="1418"/>
      <c r="P246" s="1418"/>
      <c r="Q246" s="1418"/>
      <c r="R246" s="1418"/>
      <c r="S246" s="1418"/>
      <c r="T246" s="1418"/>
      <c r="U246" s="1418"/>
      <c r="V246" s="1418"/>
      <c r="W246" s="1418"/>
      <c r="X246" s="1418"/>
      <c r="Y246" s="1418"/>
      <c r="Z246" s="1418"/>
      <c r="AA246" s="1418"/>
      <c r="AB246" s="1418"/>
      <c r="AC246" s="1418"/>
      <c r="AD246" s="1418"/>
      <c r="AE246" s="1418"/>
      <c r="AH246" s="1781">
        <v>5.0000000000000001E-3</v>
      </c>
      <c r="AI246" s="1781"/>
      <c r="AJ246" s="1781"/>
      <c r="AK246" s="1781"/>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6" t="s">
        <v>2625</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7" t="s">
        <v>2626</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79"/>
      <c r="AB249" s="1779"/>
      <c r="AC249" s="1779"/>
      <c r="AD249" s="1779"/>
      <c r="AE249" s="1779"/>
      <c r="AF249" s="1779"/>
      <c r="AG249" s="1779"/>
      <c r="AH249" s="1779"/>
      <c r="AI249" s="1779"/>
      <c r="AJ249" s="1779"/>
      <c r="AK249" s="17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t="s">
        <v>2628</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2622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2623</v>
      </c>
      <c r="N253" s="1418"/>
      <c r="O253" s="1418"/>
      <c r="P253" s="1418"/>
      <c r="Q253" s="1418"/>
      <c r="R253" s="1418"/>
      <c r="S253" s="1418"/>
      <c r="T253" s="1418"/>
      <c r="V253" s="33" t="s">
        <v>86</v>
      </c>
      <c r="W253" s="1547" t="s">
        <v>2624</v>
      </c>
      <c r="X253" s="1438"/>
      <c r="Y253" s="4" t="s">
        <v>583</v>
      </c>
      <c r="AC253" s="1418">
        <v>95603</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2629</v>
      </c>
      <c r="N254" s="1418"/>
      <c r="O254" s="1418"/>
      <c r="P254" s="1418"/>
      <c r="Q254" s="1418"/>
      <c r="R254" s="1418"/>
      <c r="S254" s="1418"/>
      <c r="T254" s="1418"/>
      <c r="U254" s="1418"/>
      <c r="V254" s="1418"/>
      <c r="W254" s="1418"/>
      <c r="X254" s="1418"/>
      <c r="Y254" s="1418"/>
      <c r="Z254" s="1418"/>
      <c r="AA254" s="1418"/>
      <c r="AB254" s="1418"/>
      <c r="AC254" s="1418"/>
      <c r="AD254" s="1418"/>
      <c r="AE254" s="1418"/>
      <c r="AH254" s="1781">
        <v>5.0000000000000001E-3</v>
      </c>
      <c r="AI254" s="1781"/>
      <c r="AJ254" s="1781"/>
      <c r="AK254" s="1781"/>
      <c r="AL254" s="4"/>
      <c r="AM254" s="4"/>
      <c r="AN254" s="4"/>
      <c r="AO254" s="4"/>
      <c r="AP254" s="4"/>
      <c r="AQ254" s="4"/>
      <c r="AR254" s="4"/>
      <c r="AS254" s="4"/>
      <c r="AT254" s="4"/>
    </row>
    <row r="255" spans="1:67" ht="12.95" customHeight="1">
      <c r="A255" s="19"/>
      <c r="B255" s="4"/>
      <c r="C255" s="4"/>
      <c r="D255" s="4" t="s">
        <v>88</v>
      </c>
      <c r="E255" s="4"/>
      <c r="F255" s="4"/>
      <c r="M255" s="1346" t="s">
        <v>2625</v>
      </c>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7" t="s">
        <v>2626</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9"/>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8"/>
      <c r="X261" s="1438"/>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1"/>
      <c r="AI262" s="1781"/>
      <c r="AJ262" s="1781"/>
      <c r="AK262" s="17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3">
        <v>45428</v>
      </c>
      <c r="Y270" s="1693"/>
      <c r="Z270" s="1693"/>
      <c r="AA270" s="1693"/>
      <c r="AB270" s="1693"/>
      <c r="AC270" s="1693"/>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2631</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2632</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2633</v>
      </c>
      <c r="M276" s="1418"/>
      <c r="N276" s="1418"/>
      <c r="O276" s="1418"/>
      <c r="P276" s="1418"/>
      <c r="Q276" s="1418"/>
      <c r="R276" s="1418"/>
      <c r="S276" s="1418"/>
      <c r="U276" s="33" t="s">
        <v>86</v>
      </c>
      <c r="V276" s="1547" t="s">
        <v>2634</v>
      </c>
      <c r="W276" s="1438"/>
      <c r="X276" s="4" t="s">
        <v>583</v>
      </c>
      <c r="AB276" s="1418">
        <v>92614</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2636</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2.95" customHeight="1">
      <c r="D279" s="4" t="s">
        <v>90</v>
      </c>
      <c r="E279" s="4"/>
      <c r="F279" s="4"/>
      <c r="L279" s="1787" t="s">
        <v>2637</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623</v>
      </c>
      <c r="E280" s="3"/>
      <c r="F280" s="3"/>
      <c r="G280" s="3"/>
      <c r="H280" s="3"/>
      <c r="I280" s="3"/>
      <c r="L280" s="1547" t="s">
        <v>2638</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tr">
        <f>L274</f>
        <v>Community Preservation Partners</v>
      </c>
      <c r="I287" s="1372"/>
      <c r="J287" s="1372"/>
      <c r="K287" s="1372"/>
      <c r="L287" s="1372"/>
      <c r="M287" s="1372"/>
      <c r="N287" s="1372"/>
      <c r="O287" s="1372"/>
      <c r="P287" s="1372"/>
      <c r="Q287" s="1372"/>
      <c r="R287" s="1372"/>
      <c r="T287" s="3" t="s">
        <v>567</v>
      </c>
      <c r="V287" s="3"/>
      <c r="W287" s="3"/>
      <c r="X287" s="3"/>
      <c r="Y287" s="3"/>
      <c r="AA287" s="1372" t="s">
        <v>2640</v>
      </c>
      <c r="AB287" s="1372"/>
      <c r="AC287" s="1372"/>
      <c r="AD287" s="1372"/>
      <c r="AE287" s="1372"/>
      <c r="AF287" s="1372"/>
      <c r="AG287" s="1372"/>
      <c r="AH287" s="1372"/>
      <c r="AI287" s="1372"/>
      <c r="AJ287" s="1372"/>
      <c r="AK287" s="1372"/>
    </row>
    <row r="288" spans="1:51" ht="12.95" customHeight="1">
      <c r="B288" s="3" t="s">
        <v>471</v>
      </c>
      <c r="C288" s="3"/>
      <c r="D288" s="3"/>
      <c r="E288" s="3"/>
      <c r="F288" s="3"/>
      <c r="H288" s="1349" t="str">
        <f>L275</f>
        <v>17782 Sky Park Circle</v>
      </c>
      <c r="I288" s="1349"/>
      <c r="J288" s="1349"/>
      <c r="K288" s="1349"/>
      <c r="L288" s="1349"/>
      <c r="M288" s="1349"/>
      <c r="N288" s="1349"/>
      <c r="O288" s="1349"/>
      <c r="P288" s="1349"/>
      <c r="Q288" s="1349"/>
      <c r="R288" s="1349"/>
      <c r="T288" s="3" t="s">
        <v>471</v>
      </c>
      <c r="V288" s="3"/>
      <c r="W288" s="3"/>
      <c r="X288" s="3"/>
      <c r="Y288" s="3"/>
      <c r="AA288" s="1349" t="s">
        <v>2641</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2639</v>
      </c>
      <c r="I289" s="1349"/>
      <c r="J289" s="1349"/>
      <c r="K289" s="1349"/>
      <c r="L289" s="1349"/>
      <c r="M289" s="1349"/>
      <c r="N289" s="1349"/>
      <c r="O289" s="1349"/>
      <c r="P289" s="1349"/>
      <c r="Q289" s="1349"/>
      <c r="R289" s="1349"/>
      <c r="T289" s="3" t="s">
        <v>75</v>
      </c>
      <c r="V289" s="3"/>
      <c r="W289" s="3"/>
      <c r="X289" s="3"/>
      <c r="Y289" s="3"/>
      <c r="AA289" s="1349" t="s">
        <v>2642</v>
      </c>
      <c r="AB289" s="1349"/>
      <c r="AC289" s="1349"/>
      <c r="AD289" s="1349"/>
      <c r="AE289" s="1349"/>
      <c r="AF289" s="1349"/>
      <c r="AG289" s="1349"/>
      <c r="AH289" s="1349"/>
      <c r="AI289" s="1349"/>
      <c r="AJ289" s="1349"/>
      <c r="AK289" s="1349"/>
    </row>
    <row r="290" spans="2:37" ht="12.95" customHeight="1">
      <c r="B290" s="3" t="s">
        <v>87</v>
      </c>
      <c r="C290" s="3"/>
      <c r="D290" s="3"/>
      <c r="E290" s="3"/>
      <c r="F290" s="3"/>
      <c r="H290" s="1349" t="str">
        <f>L277</f>
        <v>Karen Buckland</v>
      </c>
      <c r="I290" s="1349"/>
      <c r="J290" s="1349"/>
      <c r="K290" s="1349"/>
      <c r="L290" s="1349"/>
      <c r="M290" s="1349"/>
      <c r="N290" s="1349"/>
      <c r="O290" s="1349"/>
      <c r="P290" s="1349"/>
      <c r="Q290" s="1349"/>
      <c r="R290" s="1349"/>
      <c r="T290" s="3" t="s">
        <v>87</v>
      </c>
      <c r="V290" s="3"/>
      <c r="W290" s="3"/>
      <c r="X290" s="3"/>
      <c r="Y290" s="3"/>
      <c r="AA290" s="1349" t="s">
        <v>2643</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2636</v>
      </c>
      <c r="I291" s="1425"/>
      <c r="J291" s="1425"/>
      <c r="K291" s="1425"/>
      <c r="L291" s="1425"/>
      <c r="M291" s="1425"/>
      <c r="N291" s="4" t="s">
        <v>206</v>
      </c>
      <c r="O291" s="4"/>
      <c r="P291" s="1418"/>
      <c r="Q291" s="1418"/>
      <c r="R291" s="1418"/>
      <c r="S291" s="3"/>
      <c r="T291" s="3" t="s">
        <v>88</v>
      </c>
      <c r="V291" s="3"/>
      <c r="W291" s="3"/>
      <c r="X291" s="3"/>
      <c r="Y291" s="3"/>
      <c r="AA291" s="1424" t="s">
        <v>2645</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2637</v>
      </c>
      <c r="I293" s="1349"/>
      <c r="J293" s="1349"/>
      <c r="K293" s="1349"/>
      <c r="L293" s="1349"/>
      <c r="M293" s="1349"/>
      <c r="N293" s="1372"/>
      <c r="O293" s="1372"/>
      <c r="P293" s="1372"/>
      <c r="Q293" s="1372"/>
      <c r="R293" s="1372"/>
      <c r="S293" s="3"/>
      <c r="T293" s="3" t="s">
        <v>76</v>
      </c>
      <c r="V293" s="3"/>
      <c r="W293" s="3"/>
      <c r="X293" s="3"/>
      <c r="Y293" s="3"/>
      <c r="AA293" s="1349" t="s">
        <v>2644</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2646</v>
      </c>
      <c r="I295" s="1372"/>
      <c r="J295" s="1372"/>
      <c r="K295" s="1372"/>
      <c r="L295" s="1372"/>
      <c r="M295" s="1372"/>
      <c r="N295" s="1372"/>
      <c r="O295" s="1372"/>
      <c r="P295" s="1372"/>
      <c r="Q295" s="1372"/>
      <c r="R295" s="1372"/>
      <c r="T295" s="3" t="s">
        <v>364</v>
      </c>
      <c r="V295" s="3"/>
      <c r="W295" s="3"/>
      <c r="X295" s="3"/>
      <c r="Y295" s="3"/>
      <c r="AA295" s="1372" t="s">
        <v>2652</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2647</v>
      </c>
      <c r="I296" s="1349"/>
      <c r="J296" s="1349"/>
      <c r="K296" s="1349"/>
      <c r="L296" s="1349"/>
      <c r="M296" s="1349"/>
      <c r="N296" s="1349"/>
      <c r="O296" s="1349"/>
      <c r="P296" s="1349"/>
      <c r="Q296" s="1349"/>
      <c r="R296" s="1349"/>
      <c r="T296" s="3" t="s">
        <v>471</v>
      </c>
      <c r="V296" s="3"/>
      <c r="W296" s="3"/>
      <c r="X296" s="3"/>
      <c r="Y296" s="3"/>
      <c r="AA296" s="1349" t="s">
        <v>2653</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2648</v>
      </c>
      <c r="I297" s="1349"/>
      <c r="J297" s="1349"/>
      <c r="K297" s="1349"/>
      <c r="L297" s="1349"/>
      <c r="M297" s="1349"/>
      <c r="N297" s="1349"/>
      <c r="O297" s="1349"/>
      <c r="P297" s="1349"/>
      <c r="Q297" s="1349"/>
      <c r="R297" s="1349"/>
      <c r="T297" s="3" t="s">
        <v>75</v>
      </c>
      <c r="V297" s="3"/>
      <c r="W297" s="3"/>
      <c r="X297" s="3"/>
      <c r="Y297" s="3"/>
      <c r="AA297" s="1349" t="s">
        <v>2654</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2649</v>
      </c>
      <c r="I298" s="1349"/>
      <c r="J298" s="1349"/>
      <c r="K298" s="1349"/>
      <c r="L298" s="1349"/>
      <c r="M298" s="1349"/>
      <c r="N298" s="1349"/>
      <c r="O298" s="1349"/>
      <c r="P298" s="1349"/>
      <c r="Q298" s="1349"/>
      <c r="R298" s="1349"/>
      <c r="T298" s="3" t="s">
        <v>87</v>
      </c>
      <c r="V298" s="3"/>
      <c r="W298" s="3"/>
      <c r="X298" s="3"/>
      <c r="Y298" s="3"/>
      <c r="AA298" s="1349" t="s">
        <v>2655</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2650</v>
      </c>
      <c r="I299" s="1425"/>
      <c r="J299" s="1425"/>
      <c r="K299" s="1425"/>
      <c r="L299" s="1425"/>
      <c r="M299" s="1425"/>
      <c r="N299" s="4" t="s">
        <v>206</v>
      </c>
      <c r="O299" s="4"/>
      <c r="P299" s="1418"/>
      <c r="Q299" s="1418"/>
      <c r="R299" s="1418"/>
      <c r="S299" s="3"/>
      <c r="T299" s="3" t="s">
        <v>88</v>
      </c>
      <c r="V299" s="3"/>
      <c r="W299" s="3"/>
      <c r="X299" s="3"/>
      <c r="Y299" s="3"/>
      <c r="AA299" s="1424" t="s">
        <v>2656</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2651</v>
      </c>
      <c r="I301" s="1349"/>
      <c r="J301" s="1349"/>
      <c r="K301" s="1349"/>
      <c r="L301" s="1349"/>
      <c r="M301" s="1349"/>
      <c r="N301" s="1372"/>
      <c r="O301" s="1372"/>
      <c r="P301" s="1372"/>
      <c r="Q301" s="1372"/>
      <c r="R301" s="1372"/>
      <c r="S301" s="3"/>
      <c r="T301" s="3" t="s">
        <v>76</v>
      </c>
      <c r="V301" s="3"/>
      <c r="W301" s="3"/>
      <c r="X301" s="3"/>
      <c r="Y301" s="3"/>
      <c r="AA301" s="1349" t="s">
        <v>2657</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2658</v>
      </c>
      <c r="I303" s="1372"/>
      <c r="J303" s="1372"/>
      <c r="K303" s="1372"/>
      <c r="L303" s="1372"/>
      <c r="M303" s="1372"/>
      <c r="N303" s="1372"/>
      <c r="O303" s="1372"/>
      <c r="P303" s="1372"/>
      <c r="Q303" s="1372"/>
      <c r="R303" s="1372"/>
      <c r="T303" s="4" t="s">
        <v>878</v>
      </c>
      <c r="V303" s="3"/>
      <c r="W303" s="3"/>
      <c r="X303" s="3"/>
      <c r="Y303" s="3"/>
      <c r="AA303" s="1372" t="s">
        <v>2668</v>
      </c>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2659</v>
      </c>
      <c r="I304" s="1349"/>
      <c r="J304" s="1349"/>
      <c r="K304" s="1349"/>
      <c r="L304" s="1349"/>
      <c r="M304" s="1349"/>
      <c r="N304" s="1349"/>
      <c r="O304" s="1349"/>
      <c r="P304" s="1349"/>
      <c r="Q304" s="1349"/>
      <c r="R304" s="1349"/>
      <c r="T304" s="3" t="s">
        <v>471</v>
      </c>
      <c r="V304" s="3"/>
      <c r="W304" s="3"/>
      <c r="X304" s="3"/>
      <c r="Y304" s="3"/>
      <c r="AA304" s="1349" t="s">
        <v>2669</v>
      </c>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2660</v>
      </c>
      <c r="I305" s="1349"/>
      <c r="J305" s="1349"/>
      <c r="K305" s="1349"/>
      <c r="L305" s="1349"/>
      <c r="M305" s="1349"/>
      <c r="N305" s="1349"/>
      <c r="O305" s="1349"/>
      <c r="P305" s="1349"/>
      <c r="Q305" s="1349"/>
      <c r="R305" s="1349"/>
      <c r="T305" s="3" t="s">
        <v>75</v>
      </c>
      <c r="V305" s="3"/>
      <c r="W305" s="3"/>
      <c r="X305" s="3"/>
      <c r="Y305" s="3"/>
      <c r="AA305" s="1349" t="s">
        <v>2670</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2661</v>
      </c>
      <c r="I306" s="1349"/>
      <c r="J306" s="1349"/>
      <c r="K306" s="1349"/>
      <c r="L306" s="1349"/>
      <c r="M306" s="1349"/>
      <c r="N306" s="1349"/>
      <c r="O306" s="1349"/>
      <c r="P306" s="1349"/>
      <c r="Q306" s="1349"/>
      <c r="R306" s="1349"/>
      <c r="T306" s="3" t="s">
        <v>87</v>
      </c>
      <c r="V306" s="3"/>
      <c r="W306" s="3"/>
      <c r="X306" s="3"/>
      <c r="Y306" s="3"/>
      <c r="AA306" s="1349" t="s">
        <v>2671</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2662</v>
      </c>
      <c r="I307" s="1425"/>
      <c r="J307" s="1425"/>
      <c r="K307" s="1425"/>
      <c r="L307" s="1425"/>
      <c r="M307" s="1425"/>
      <c r="N307" s="4" t="s">
        <v>206</v>
      </c>
      <c r="O307" s="4"/>
      <c r="P307" s="1418"/>
      <c r="Q307" s="1418"/>
      <c r="R307" s="1418"/>
      <c r="S307" s="3"/>
      <c r="T307" s="3" t="s">
        <v>88</v>
      </c>
      <c r="V307" s="3"/>
      <c r="W307" s="3"/>
      <c r="X307" s="3"/>
      <c r="Y307" s="3"/>
      <c r="AA307" s="1425" t="s">
        <v>2672</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2663</v>
      </c>
      <c r="I309" s="1349"/>
      <c r="J309" s="1349"/>
      <c r="K309" s="1349"/>
      <c r="L309" s="1349"/>
      <c r="M309" s="1349"/>
      <c r="N309" s="1372"/>
      <c r="O309" s="1372"/>
      <c r="P309" s="1372"/>
      <c r="Q309" s="1372"/>
      <c r="R309" s="1372"/>
      <c r="S309" s="3"/>
      <c r="T309" s="3" t="s">
        <v>76</v>
      </c>
      <c r="V309" s="3"/>
      <c r="W309" s="3"/>
      <c r="X309" s="3"/>
      <c r="Y309" s="3"/>
      <c r="AA309" s="1349" t="s">
        <v>2673</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2658</v>
      </c>
      <c r="I311" s="1372"/>
      <c r="J311" s="1372"/>
      <c r="K311" s="1372"/>
      <c r="L311" s="1372"/>
      <c r="M311" s="1372"/>
      <c r="N311" s="1372"/>
      <c r="O311" s="1372"/>
      <c r="P311" s="1372"/>
      <c r="Q311" s="1372"/>
      <c r="R311" s="1372"/>
      <c r="S311" s="3"/>
      <c r="T311" s="3" t="s">
        <v>365</v>
      </c>
      <c r="V311" s="3"/>
      <c r="W311" s="3"/>
      <c r="X311" s="3"/>
      <c r="Y311" s="3"/>
      <c r="AA311" s="1372" t="s">
        <v>2664</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2659</v>
      </c>
      <c r="I312" s="1349"/>
      <c r="J312" s="1349"/>
      <c r="K312" s="1349"/>
      <c r="L312" s="1349"/>
      <c r="M312" s="1349"/>
      <c r="N312" s="1349"/>
      <c r="O312" s="1349"/>
      <c r="P312" s="1349"/>
      <c r="Q312" s="1349"/>
      <c r="R312" s="1349"/>
      <c r="S312" s="3"/>
      <c r="T312" s="3" t="s">
        <v>471</v>
      </c>
      <c r="V312" s="3"/>
      <c r="W312" s="3"/>
      <c r="X312" s="3"/>
      <c r="Y312" s="3"/>
      <c r="AA312" s="1349" t="s">
        <v>2632</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2660</v>
      </c>
      <c r="I313" s="1349"/>
      <c r="J313" s="1349"/>
      <c r="K313" s="1349"/>
      <c r="L313" s="1349"/>
      <c r="M313" s="1349"/>
      <c r="N313" s="1349"/>
      <c r="O313" s="1349"/>
      <c r="P313" s="1349"/>
      <c r="Q313" s="1349"/>
      <c r="R313" s="1349"/>
      <c r="S313" s="3"/>
      <c r="T313" s="3" t="s">
        <v>75</v>
      </c>
      <c r="V313" s="3"/>
      <c r="W313" s="3"/>
      <c r="X313" s="3"/>
      <c r="Y313" s="3"/>
      <c r="AA313" s="1349" t="s">
        <v>2639</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2661</v>
      </c>
      <c r="I314" s="1349"/>
      <c r="J314" s="1349"/>
      <c r="K314" s="1349"/>
      <c r="L314" s="1349"/>
      <c r="M314" s="1349"/>
      <c r="N314" s="1349"/>
      <c r="O314" s="1349"/>
      <c r="P314" s="1349"/>
      <c r="Q314" s="1349"/>
      <c r="R314" s="1349"/>
      <c r="S314" s="3"/>
      <c r="T314" s="3" t="s">
        <v>87</v>
      </c>
      <c r="V314" s="3"/>
      <c r="W314" s="3"/>
      <c r="X314" s="3"/>
      <c r="Y314" s="3"/>
      <c r="AA314" s="1349" t="s">
        <v>2665</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5" t="s">
        <v>2662</v>
      </c>
      <c r="I315" s="1425"/>
      <c r="J315" s="1425"/>
      <c r="K315" s="1425"/>
      <c r="L315" s="1425"/>
      <c r="M315" s="1425"/>
      <c r="N315" s="4" t="s">
        <v>206</v>
      </c>
      <c r="O315" s="4"/>
      <c r="P315" s="1418"/>
      <c r="Q315" s="1418"/>
      <c r="R315" s="1418"/>
      <c r="S315" s="3"/>
      <c r="T315" s="3" t="s">
        <v>88</v>
      </c>
      <c r="V315" s="3"/>
      <c r="W315" s="3"/>
      <c r="X315" s="3"/>
      <c r="Y315" s="3"/>
      <c r="AA315" s="1424" t="s">
        <v>2666</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2663</v>
      </c>
      <c r="I317" s="1349"/>
      <c r="J317" s="1349"/>
      <c r="K317" s="1349"/>
      <c r="L317" s="1349"/>
      <c r="M317" s="1349"/>
      <c r="N317" s="1372"/>
      <c r="O317" s="1372"/>
      <c r="P317" s="1372"/>
      <c r="Q317" s="1372"/>
      <c r="R317" s="1372"/>
      <c r="S317" s="3"/>
      <c r="T317" s="3" t="s">
        <v>76</v>
      </c>
      <c r="V317" s="3"/>
      <c r="W317" s="3"/>
      <c r="X317" s="3"/>
      <c r="Y317" s="3"/>
      <c r="AA317" s="1349" t="s">
        <v>2667</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591</v>
      </c>
      <c r="I319" s="1372"/>
      <c r="J319" s="1372"/>
      <c r="K319" s="1372"/>
      <c r="L319" s="1372"/>
      <c r="M319" s="1372"/>
      <c r="N319" s="1372"/>
      <c r="O319" s="1372"/>
      <c r="P319" s="1372"/>
      <c r="Q319" s="1372"/>
      <c r="R319" s="1372"/>
      <c r="T319" s="3" t="s">
        <v>366</v>
      </c>
      <c r="V319" s="3"/>
      <c r="W319" s="3"/>
      <c r="X319" s="3"/>
      <c r="Y319" s="3"/>
      <c r="AA319" s="1372" t="s">
        <v>2674</v>
      </c>
      <c r="AB319" s="1372"/>
      <c r="AC319" s="1372"/>
      <c r="AD319" s="1372"/>
      <c r="AE319" s="1372"/>
      <c r="AF319" s="1372"/>
      <c r="AG319" s="1372"/>
      <c r="AH319" s="1372"/>
      <c r="AI319" s="1372"/>
      <c r="AJ319" s="1372"/>
      <c r="AK319" s="1372"/>
    </row>
    <row r="320" spans="2:37" ht="12.95"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2675</v>
      </c>
      <c r="AB320" s="1349"/>
      <c r="AC320" s="1349"/>
      <c r="AD320" s="1349"/>
      <c r="AE320" s="1349"/>
      <c r="AF320" s="1349"/>
      <c r="AG320" s="1349"/>
      <c r="AH320" s="1349"/>
      <c r="AI320" s="1349"/>
      <c r="AJ320" s="1349"/>
      <c r="AK320" s="1349"/>
    </row>
    <row r="321" spans="2:37" ht="12.95"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2676</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2677</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5" t="s">
        <v>2678</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2679</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2674</v>
      </c>
      <c r="I327" s="1372"/>
      <c r="J327" s="1372"/>
      <c r="K327" s="1372"/>
      <c r="L327" s="1372"/>
      <c r="M327" s="1372"/>
      <c r="N327" s="1372"/>
      <c r="O327" s="1372"/>
      <c r="P327" s="1372"/>
      <c r="Q327" s="1372"/>
      <c r="R327" s="1372"/>
      <c r="T327" s="3" t="s">
        <v>368</v>
      </c>
      <c r="V327" s="3"/>
      <c r="W327" s="3"/>
      <c r="X327" s="3"/>
      <c r="Y327" s="3"/>
      <c r="AA327" s="1372" t="s">
        <v>2674</v>
      </c>
      <c r="AB327" s="1372"/>
      <c r="AC327" s="1372"/>
      <c r="AD327" s="1372"/>
      <c r="AE327" s="1372"/>
      <c r="AF327" s="1372"/>
      <c r="AG327" s="1372"/>
      <c r="AH327" s="1372"/>
      <c r="AI327" s="1372"/>
      <c r="AJ327" s="1372"/>
      <c r="AK327" s="1372"/>
    </row>
    <row r="328" spans="2:37" ht="12.95" customHeight="1">
      <c r="B328" s="3" t="s">
        <v>471</v>
      </c>
      <c r="C328" s="3"/>
      <c r="D328" s="3"/>
      <c r="E328" s="3"/>
      <c r="F328" s="3"/>
      <c r="H328" s="1349" t="s">
        <v>2675</v>
      </c>
      <c r="I328" s="1349"/>
      <c r="J328" s="1349"/>
      <c r="K328" s="1349"/>
      <c r="L328" s="1349"/>
      <c r="M328" s="1349"/>
      <c r="N328" s="1349"/>
      <c r="O328" s="1349"/>
      <c r="P328" s="1349"/>
      <c r="Q328" s="1349"/>
      <c r="R328" s="1349"/>
      <c r="T328" s="3" t="s">
        <v>471</v>
      </c>
      <c r="V328" s="3"/>
      <c r="W328" s="3"/>
      <c r="X328" s="3"/>
      <c r="Y328" s="3"/>
      <c r="AA328" s="1349" t="s">
        <v>2675</v>
      </c>
      <c r="AB328" s="1349"/>
      <c r="AC328" s="1349"/>
      <c r="AD328" s="1349"/>
      <c r="AE328" s="1349"/>
      <c r="AF328" s="1349"/>
      <c r="AG328" s="1349"/>
      <c r="AH328" s="1349"/>
      <c r="AI328" s="1349"/>
      <c r="AJ328" s="1349"/>
      <c r="AK328" s="1349"/>
    </row>
    <row r="329" spans="2:37" ht="12.95" customHeight="1">
      <c r="B329" s="3" t="s">
        <v>472</v>
      </c>
      <c r="C329" s="3"/>
      <c r="D329" s="3"/>
      <c r="E329" s="3"/>
      <c r="F329" s="3"/>
      <c r="H329" s="1349" t="s">
        <v>2676</v>
      </c>
      <c r="I329" s="1349"/>
      <c r="J329" s="1349"/>
      <c r="K329" s="1349"/>
      <c r="L329" s="1349"/>
      <c r="M329" s="1349"/>
      <c r="N329" s="1349"/>
      <c r="O329" s="1349"/>
      <c r="P329" s="1349"/>
      <c r="Q329" s="1349"/>
      <c r="R329" s="1349"/>
      <c r="T329" s="3" t="s">
        <v>75</v>
      </c>
      <c r="V329" s="3"/>
      <c r="W329" s="3"/>
      <c r="X329" s="3"/>
      <c r="Y329" s="3"/>
      <c r="AA329" s="1349" t="s">
        <v>2676</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2677</v>
      </c>
      <c r="I330" s="1349"/>
      <c r="J330" s="1349"/>
      <c r="K330" s="1349"/>
      <c r="L330" s="1349"/>
      <c r="M330" s="1349"/>
      <c r="N330" s="1349"/>
      <c r="O330" s="1349"/>
      <c r="P330" s="1349"/>
      <c r="Q330" s="1349"/>
      <c r="R330" s="1349"/>
      <c r="T330" s="3" t="s">
        <v>87</v>
      </c>
      <c r="V330" s="3"/>
      <c r="W330" s="3"/>
      <c r="X330" s="3"/>
      <c r="Y330" s="3"/>
      <c r="AA330" s="1349" t="s">
        <v>2680</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t="s">
        <v>2678</v>
      </c>
      <c r="I331" s="1425"/>
      <c r="J331" s="1425"/>
      <c r="K331" s="1425"/>
      <c r="L331" s="1425"/>
      <c r="M331" s="1425"/>
      <c r="N331" s="4" t="s">
        <v>206</v>
      </c>
      <c r="O331" s="4"/>
      <c r="P331" s="1418"/>
      <c r="Q331" s="1418"/>
      <c r="R331" s="1418"/>
      <c r="S331" s="3"/>
      <c r="T331" s="3" t="s">
        <v>88</v>
      </c>
      <c r="V331" s="3"/>
      <c r="W331" s="3"/>
      <c r="X331" s="3"/>
      <c r="Y331" s="3"/>
      <c r="AA331" s="1425" t="s">
        <v>2678</v>
      </c>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2679</v>
      </c>
      <c r="I333" s="1349"/>
      <c r="J333" s="1349"/>
      <c r="K333" s="1349"/>
      <c r="L333" s="1349"/>
      <c r="M333" s="1349"/>
      <c r="N333" s="1372"/>
      <c r="O333" s="1372"/>
      <c r="P333" s="1372"/>
      <c r="Q333" s="1372"/>
      <c r="R333" s="1372"/>
      <c r="S333" s="3"/>
      <c r="T333" s="3" t="s">
        <v>76</v>
      </c>
      <c r="V333" s="3"/>
      <c r="W333" s="3"/>
      <c r="X333" s="3"/>
      <c r="Y333" s="3"/>
      <c r="AA333" s="1349" t="s">
        <v>2681</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2682</v>
      </c>
      <c r="I335" s="1372"/>
      <c r="J335" s="1372"/>
      <c r="K335" s="1372"/>
      <c r="L335" s="1372"/>
      <c r="M335" s="1372"/>
      <c r="N335" s="1372"/>
      <c r="O335" s="1372"/>
      <c r="P335" s="1372"/>
      <c r="Q335" s="1372"/>
      <c r="R335" s="1372"/>
      <c r="T335" s="204" t="s">
        <v>886</v>
      </c>
      <c r="V335" s="3"/>
      <c r="W335" s="3"/>
      <c r="X335" s="3"/>
      <c r="Y335" s="3"/>
      <c r="AA335" s="1372" t="s">
        <v>2688</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2683</v>
      </c>
      <c r="I336" s="1349"/>
      <c r="J336" s="1349"/>
      <c r="K336" s="1349"/>
      <c r="L336" s="1349"/>
      <c r="M336" s="1349"/>
      <c r="N336" s="1349"/>
      <c r="O336" s="1349"/>
      <c r="P336" s="1349"/>
      <c r="Q336" s="1349"/>
      <c r="R336" s="1349"/>
      <c r="T336" s="3" t="s">
        <v>471</v>
      </c>
      <c r="V336" s="3"/>
      <c r="W336" s="3"/>
      <c r="X336" s="3"/>
      <c r="Y336" s="3"/>
      <c r="AA336" s="1349" t="s">
        <v>2689</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2684</v>
      </c>
      <c r="I337" s="1349"/>
      <c r="J337" s="1349"/>
      <c r="K337" s="1349"/>
      <c r="L337" s="1349"/>
      <c r="M337" s="1349"/>
      <c r="N337" s="1349"/>
      <c r="O337" s="1349"/>
      <c r="P337" s="1349"/>
      <c r="Q337" s="1349"/>
      <c r="R337" s="1349"/>
      <c r="T337" s="3" t="s">
        <v>75</v>
      </c>
      <c r="V337" s="3"/>
      <c r="W337" s="3"/>
      <c r="X337" s="3"/>
      <c r="Y337" s="3"/>
      <c r="AA337" s="1349" t="s">
        <v>2690</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2685</v>
      </c>
      <c r="I338" s="1349"/>
      <c r="J338" s="1349"/>
      <c r="K338" s="1349"/>
      <c r="L338" s="1349"/>
      <c r="M338" s="1349"/>
      <c r="N338" s="1349"/>
      <c r="O338" s="1349"/>
      <c r="P338" s="1349"/>
      <c r="Q338" s="1349"/>
      <c r="R338" s="1349"/>
      <c r="T338" s="3" t="s">
        <v>87</v>
      </c>
      <c r="V338" s="3"/>
      <c r="W338" s="3"/>
      <c r="X338" s="3"/>
      <c r="Y338" s="3"/>
      <c r="AA338" s="1349" t="s">
        <v>2691</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t="s">
        <v>2686</v>
      </c>
      <c r="I339" s="1425"/>
      <c r="J339" s="1425"/>
      <c r="K339" s="1425"/>
      <c r="L339" s="1425"/>
      <c r="M339" s="1425"/>
      <c r="N339" s="4" t="s">
        <v>206</v>
      </c>
      <c r="O339" s="4"/>
      <c r="P339" s="1418"/>
      <c r="Q339" s="1418"/>
      <c r="R339" s="1418"/>
      <c r="S339" s="3"/>
      <c r="T339" s="3" t="s">
        <v>88</v>
      </c>
      <c r="V339" s="3"/>
      <c r="W339" s="3"/>
      <c r="X339" s="3"/>
      <c r="Y339" s="3"/>
      <c r="AA339" s="1425" t="s">
        <v>2692</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2687</v>
      </c>
      <c r="I341" s="1349"/>
      <c r="J341" s="1349"/>
      <c r="K341" s="1349"/>
      <c r="L341" s="1349"/>
      <c r="M341" s="1349"/>
      <c r="N341" s="1372"/>
      <c r="O341" s="1372"/>
      <c r="P341" s="1372"/>
      <c r="Q341" s="1372"/>
      <c r="R341" s="1372"/>
      <c r="S341" s="3"/>
      <c r="T341" s="3" t="s">
        <v>76</v>
      </c>
      <c r="V341" s="3"/>
      <c r="W341" s="3"/>
      <c r="X341" s="3"/>
      <c r="Y341" s="3"/>
      <c r="AA341" s="1349" t="s">
        <v>2693</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332" t="s">
        <v>591</v>
      </c>
      <c r="N355" s="1332"/>
      <c r="P355" t="s">
        <v>1650</v>
      </c>
      <c r="AJ355" s="1332" t="s">
        <v>591</v>
      </c>
      <c r="AK355" s="1332"/>
    </row>
    <row r="356" spans="1:46" ht="12.95" customHeight="1">
      <c r="D356" s="3" t="s">
        <v>1639</v>
      </c>
      <c r="M356" s="1332" t="s">
        <v>591</v>
      </c>
      <c r="N356" s="1332"/>
      <c r="P356" s="3" t="s">
        <v>1719</v>
      </c>
      <c r="AJ356" s="1448"/>
      <c r="AK356" s="1448"/>
    </row>
    <row r="357" spans="1:46" ht="12.95" customHeight="1">
      <c r="D357" s="3" t="s">
        <v>704</v>
      </c>
      <c r="M357" s="1332" t="s">
        <v>591</v>
      </c>
      <c r="N357" s="1332"/>
      <c r="P357" t="s">
        <v>1649</v>
      </c>
      <c r="AJ357" s="1332" t="s">
        <v>591</v>
      </c>
      <c r="AK357" s="1332"/>
    </row>
    <row r="358" spans="1:46" ht="12.95" customHeight="1">
      <c r="D358" s="3" t="s">
        <v>705</v>
      </c>
      <c r="M358" s="1332" t="s">
        <v>545</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2.95" customHeight="1">
      <c r="E364" t="s">
        <v>370</v>
      </c>
      <c r="Y364" s="1332" t="s">
        <v>591</v>
      </c>
      <c r="Z364" s="1332"/>
    </row>
    <row r="365" spans="1:46" ht="12.95" customHeight="1">
      <c r="D365" s="4" t="s">
        <v>978</v>
      </c>
      <c r="Q365" s="1372" t="s">
        <v>2694</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669</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772" t="s">
        <v>2718</v>
      </c>
      <c r="O370" s="1665"/>
      <c r="P370" s="1665"/>
      <c r="Q370" s="1665"/>
      <c r="R370" s="4"/>
      <c r="U370" s="4" t="s">
        <v>449</v>
      </c>
      <c r="V370" s="4"/>
      <c r="W370" s="4"/>
      <c r="X370" s="4"/>
      <c r="Y370" s="4"/>
      <c r="Z370" s="4"/>
      <c r="AA370" s="4"/>
      <c r="AB370" s="4"/>
      <c r="AC370" s="1665">
        <v>15</v>
      </c>
      <c r="AD370" s="1665"/>
      <c r="AE370" s="1665"/>
      <c r="AF370" s="1665"/>
    </row>
    <row r="371" spans="1:34" ht="12.95" customHeight="1">
      <c r="E371" s="4" t="s">
        <v>450</v>
      </c>
      <c r="F371" s="4"/>
      <c r="G371" s="4"/>
      <c r="H371" s="4"/>
      <c r="I371" s="4"/>
      <c r="J371" s="4"/>
      <c r="K371" s="4"/>
      <c r="L371" s="4"/>
      <c r="N371" s="1665">
        <v>14</v>
      </c>
      <c r="O371" s="1665"/>
      <c r="P371" s="1665"/>
      <c r="Q371" s="1665"/>
      <c r="R371" s="4"/>
      <c r="U371" s="4" t="s">
        <v>0</v>
      </c>
      <c r="V371" s="4"/>
      <c r="W371" s="4"/>
      <c r="X371" s="4"/>
      <c r="Y371" s="4"/>
      <c r="Z371" s="4"/>
      <c r="AA371" s="4"/>
      <c r="AB371" s="4"/>
      <c r="AC371" s="1665">
        <v>64</v>
      </c>
      <c r="AD371" s="1665"/>
      <c r="AE371" s="1665"/>
      <c r="AF371" s="1665"/>
    </row>
    <row r="372" spans="1:34" ht="12.95" customHeight="1">
      <c r="E372" s="4" t="s">
        <v>1</v>
      </c>
      <c r="F372" s="4"/>
      <c r="G372" s="4"/>
      <c r="H372" s="4"/>
      <c r="I372" s="4"/>
      <c r="J372" s="4"/>
      <c r="K372" s="4"/>
      <c r="L372" s="4"/>
      <c r="N372" s="1665">
        <v>1</v>
      </c>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6" t="s">
        <v>2695</v>
      </c>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8">
        <v>1994</v>
      </c>
      <c r="T377" s="1818"/>
      <c r="U377" s="1" t="s">
        <v>306</v>
      </c>
      <c r="V377" s="1818">
        <v>95</v>
      </c>
      <c r="W377" s="1818"/>
      <c r="Y377" t="s">
        <v>2080</v>
      </c>
      <c r="AC377" s="27" t="s">
        <v>305</v>
      </c>
      <c r="AD377" s="1818"/>
      <c r="AE377" s="1818"/>
      <c r="AF377" s="1" t="s">
        <v>306</v>
      </c>
      <c r="AG377" s="1818"/>
      <c r="AH377" s="1818"/>
    </row>
    <row r="378" spans="1:34" ht="12.95" customHeight="1">
      <c r="E378" s="4" t="s">
        <v>987</v>
      </c>
      <c r="F378" s="4"/>
      <c r="G378" s="4"/>
      <c r="H378" s="4"/>
      <c r="I378" s="4"/>
      <c r="J378" s="4"/>
      <c r="K378" s="4"/>
      <c r="L378" s="4"/>
      <c r="N378" s="1818">
        <v>1989</v>
      </c>
      <c r="O378" s="1818"/>
      <c r="P378" s="1818"/>
    </row>
    <row r="379" spans="1:34" ht="12.95" customHeight="1">
      <c r="E379" s="204" t="s">
        <v>2086</v>
      </c>
      <c r="F379" s="4"/>
      <c r="G379" s="4"/>
      <c r="H379" s="4"/>
      <c r="I379" s="4"/>
      <c r="J379" s="4"/>
      <c r="K379" s="4"/>
      <c r="L379" s="4"/>
      <c r="AG379" s="1806" t="s">
        <v>545</v>
      </c>
      <c r="AH379" s="1806"/>
    </row>
    <row r="380" spans="1:34" ht="12.95" customHeight="1">
      <c r="E380" s="4"/>
      <c r="F380" s="4"/>
      <c r="G380" s="4" t="s">
        <v>2087</v>
      </c>
      <c r="H380" s="4"/>
      <c r="I380" s="4"/>
      <c r="J380" s="4"/>
      <c r="K380" s="4"/>
      <c r="L380" s="4"/>
      <c r="AG380" s="1806" t="s">
        <v>669</v>
      </c>
      <c r="AH380" s="1806"/>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669</v>
      </c>
      <c r="W382" s="1332"/>
      <c r="Y382" s="4" t="s">
        <v>982</v>
      </c>
    </row>
    <row r="383" spans="1:34" ht="12.95" customHeight="1"/>
    <row r="384" spans="1:34" ht="12.95" customHeight="1">
      <c r="A384" s="2" t="s">
        <v>78</v>
      </c>
      <c r="B384" s="2"/>
    </row>
    <row r="385" spans="4:36" ht="12.95" customHeight="1">
      <c r="D385" t="s">
        <v>428</v>
      </c>
      <c r="J385" s="1372" t="s">
        <v>2696</v>
      </c>
      <c r="K385" s="1372"/>
      <c r="L385" s="1372"/>
      <c r="M385" s="1372"/>
      <c r="N385" s="1372"/>
      <c r="O385" s="1372"/>
      <c r="P385" s="1372"/>
      <c r="Q385" s="1372"/>
      <c r="R385" s="1372"/>
      <c r="S385" s="1372"/>
      <c r="T385" s="1372"/>
      <c r="U385" s="1372"/>
      <c r="V385" s="8" t="s">
        <v>83</v>
      </c>
      <c r="W385" s="8"/>
      <c r="X385" s="8"/>
      <c r="Y385" s="8"/>
      <c r="Z385" s="8"/>
      <c r="AA385" s="8"/>
      <c r="AB385" s="8"/>
      <c r="AC385" s="1372" t="s">
        <v>2721</v>
      </c>
      <c r="AD385" s="1372"/>
      <c r="AE385" s="1372"/>
      <c r="AF385" s="1372"/>
      <c r="AG385" s="1372"/>
      <c r="AH385" s="1372"/>
      <c r="AI385" s="1372"/>
      <c r="AJ385" s="1372"/>
    </row>
    <row r="386" spans="4:36" ht="12.95" customHeight="1">
      <c r="D386" s="3" t="s">
        <v>1182</v>
      </c>
      <c r="J386" s="1349" t="s">
        <v>2719</v>
      </c>
      <c r="K386" s="1349"/>
      <c r="L386" s="1349"/>
      <c r="M386" s="1349"/>
      <c r="N386" s="1349"/>
      <c r="O386" s="1349"/>
      <c r="P386" s="1349"/>
      <c r="Q386" s="1349"/>
      <c r="R386" s="1349"/>
      <c r="S386" s="1349"/>
      <c r="T386" s="1349"/>
      <c r="U386" s="1349"/>
      <c r="V386" s="3" t="s">
        <v>1182</v>
      </c>
      <c r="W386" s="8"/>
      <c r="X386" s="8"/>
      <c r="Y386" s="8"/>
      <c r="Z386" s="8"/>
      <c r="AA386" s="8"/>
      <c r="AB386" s="8"/>
      <c r="AC386" s="1372" t="s">
        <v>2720</v>
      </c>
      <c r="AD386" s="1372"/>
      <c r="AE386" s="1372"/>
      <c r="AF386" s="1372"/>
      <c r="AG386" s="1372"/>
      <c r="AH386" s="1372"/>
      <c r="AI386" s="1372"/>
      <c r="AJ386" s="1372"/>
    </row>
    <row r="387" spans="4:36" ht="12.95" customHeight="1">
      <c r="D387" s="3" t="s">
        <v>441</v>
      </c>
      <c r="J387" s="1349" t="s">
        <v>2697</v>
      </c>
      <c r="K387" s="1349"/>
      <c r="L387" s="1349"/>
      <c r="M387" s="1349"/>
      <c r="N387" s="1349"/>
      <c r="O387" s="1349"/>
      <c r="P387" s="1349"/>
      <c r="Q387" s="1349"/>
      <c r="R387" s="1349"/>
      <c r="S387" s="1349"/>
      <c r="T387" s="1349"/>
      <c r="U387" s="1349"/>
      <c r="V387" s="3" t="s">
        <v>441</v>
      </c>
      <c r="W387" s="8"/>
      <c r="X387" s="8"/>
      <c r="Y387" s="8"/>
      <c r="Z387" s="8"/>
      <c r="AA387" s="8"/>
      <c r="AB387" s="8"/>
      <c r="AC387" s="1372" t="s">
        <v>2697</v>
      </c>
      <c r="AD387" s="1372"/>
      <c r="AE387" s="1372"/>
      <c r="AF387" s="1372"/>
      <c r="AG387" s="1372"/>
      <c r="AH387" s="1372"/>
      <c r="AI387" s="1372"/>
      <c r="AJ387" s="1372"/>
    </row>
    <row r="388" spans="4:36" ht="12.95" customHeight="1">
      <c r="D388" t="s">
        <v>1178</v>
      </c>
      <c r="J388" s="1403" t="s">
        <v>2698</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4">
        <v>45444</v>
      </c>
      <c r="R389" s="1754"/>
      <c r="S389" s="1754"/>
      <c r="T389" s="1754"/>
      <c r="U389" s="1754"/>
      <c r="V389" t="s">
        <v>309</v>
      </c>
      <c r="AI389" s="1332" t="s">
        <v>669</v>
      </c>
      <c r="AJ389" s="1332"/>
    </row>
    <row r="390" spans="4:36" ht="12.95" customHeight="1">
      <c r="D390" t="s">
        <v>5</v>
      </c>
      <c r="Q390" s="1535" t="s">
        <v>2722</v>
      </c>
      <c r="R390" s="1822"/>
      <c r="S390" s="1822"/>
      <c r="T390" s="1822"/>
      <c r="U390" s="1822"/>
      <c r="W390" s="21" t="s">
        <v>74</v>
      </c>
      <c r="AG390" s="1831" t="s">
        <v>669</v>
      </c>
      <c r="AH390" s="1820"/>
      <c r="AI390" s="1820"/>
      <c r="AJ390" s="1820"/>
    </row>
    <row r="391" spans="4:36" ht="12.95" customHeight="1">
      <c r="D391" t="s">
        <v>427</v>
      </c>
      <c r="Q391" s="1832">
        <v>5328382</v>
      </c>
      <c r="R391" s="1832"/>
      <c r="S391" s="1832"/>
      <c r="T391" s="1832"/>
      <c r="U391" s="1832"/>
      <c r="V391" s="3" t="s">
        <v>1181</v>
      </c>
      <c r="AG391" s="1821">
        <v>46037</v>
      </c>
      <c r="AH391" s="1821"/>
      <c r="AI391" s="1821"/>
      <c r="AJ391" s="1821"/>
    </row>
    <row r="392" spans="4:36" ht="12.95" customHeight="1">
      <c r="D392" t="s">
        <v>88</v>
      </c>
      <c r="I392" s="1424" t="s">
        <v>2699</v>
      </c>
      <c r="J392" s="1425"/>
      <c r="K392" s="1425"/>
      <c r="L392" s="1425"/>
      <c r="M392" s="1425"/>
      <c r="N392" s="1425"/>
      <c r="Q392" s="4" t="s">
        <v>206</v>
      </c>
      <c r="S392" s="1830"/>
      <c r="T392" s="1830"/>
      <c r="U392" s="1830"/>
      <c r="V392" t="s">
        <v>73</v>
      </c>
      <c r="AI392" s="1332" t="s">
        <v>669</v>
      </c>
      <c r="AJ392" s="1332"/>
    </row>
    <row r="393" spans="4:36" ht="12.95" customHeight="1">
      <c r="D393" t="s">
        <v>310</v>
      </c>
      <c r="Q393" s="1409">
        <v>417</v>
      </c>
      <c r="R393" s="1409"/>
      <c r="S393" s="1409"/>
      <c r="T393" s="1409"/>
      <c r="U393" s="1409"/>
      <c r="V393" t="s">
        <v>311</v>
      </c>
      <c r="AG393" s="1820">
        <v>5000</v>
      </c>
      <c r="AH393" s="1820"/>
      <c r="AI393" s="1820"/>
      <c r="AJ393" s="1820"/>
    </row>
    <row r="394" spans="4:36" ht="12.95" customHeight="1">
      <c r="D394" t="s">
        <v>312</v>
      </c>
      <c r="Q394" s="1758">
        <v>0.01</v>
      </c>
      <c r="R394" s="1758"/>
      <c r="S394" s="1758"/>
      <c r="T394" s="1758"/>
      <c r="U394" s="1758"/>
      <c r="V394" t="s">
        <v>1163</v>
      </c>
      <c r="AG394" s="1820">
        <v>0</v>
      </c>
      <c r="AH394" s="1820"/>
      <c r="AI394" s="1820"/>
      <c r="AJ394" s="1820"/>
    </row>
    <row r="395" spans="4:36" ht="12.95" customHeight="1">
      <c r="D395" t="s">
        <v>1162</v>
      </c>
      <c r="AG395" s="1820">
        <v>0</v>
      </c>
      <c r="AH395" s="1820"/>
      <c r="AI395" s="1820"/>
      <c r="AJ395" s="1820"/>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53" t="s">
        <v>591</v>
      </c>
      <c r="U398" s="1753"/>
      <c r="V398" s="1753"/>
      <c r="W398" s="1753"/>
      <c r="X398" s="1753"/>
      <c r="Y398" s="1753"/>
      <c r="Z398" s="1753"/>
      <c r="AA398" s="1753"/>
      <c r="AB398" s="1753"/>
      <c r="AC398" s="1753"/>
      <c r="AD398" s="1753"/>
      <c r="AE398" s="1753"/>
      <c r="AF398" s="1753"/>
      <c r="AG398" s="1753"/>
      <c r="AH398" s="1753"/>
      <c r="AI398" s="1753"/>
      <c r="AJ398" s="1753"/>
    </row>
    <row r="399" spans="4:36" ht="12.95" customHeight="1">
      <c r="D399" s="3" t="s">
        <v>1666</v>
      </c>
      <c r="T399" s="1753"/>
      <c r="U399" s="1753"/>
      <c r="V399" s="1753"/>
      <c r="W399" s="1753"/>
      <c r="X399" s="1753"/>
      <c r="Y399" s="1753"/>
      <c r="Z399" s="1753"/>
      <c r="AA399" s="1753"/>
      <c r="AB399" s="1753"/>
      <c r="AC399" s="1753"/>
      <c r="AD399" s="1753"/>
      <c r="AE399" s="1753"/>
      <c r="AF399" s="1753"/>
      <c r="AG399" s="1753"/>
      <c r="AH399" s="1753"/>
      <c r="AI399" s="1753"/>
      <c r="AJ399" s="1753"/>
    </row>
    <row r="400" spans="4:36" ht="12.95" customHeight="1">
      <c r="AG400" s="456"/>
      <c r="AH400" s="456"/>
      <c r="AI400" s="456"/>
      <c r="AJ400" s="456"/>
    </row>
    <row r="401" spans="1:36" ht="12.95" customHeight="1">
      <c r="D401" s="3" t="s">
        <v>1660</v>
      </c>
      <c r="S401" s="1753" t="s">
        <v>669</v>
      </c>
      <c r="T401" s="1753"/>
      <c r="U401" s="1753"/>
      <c r="V401" t="s">
        <v>1661</v>
      </c>
      <c r="AG401" s="1824"/>
      <c r="AH401" s="1824"/>
      <c r="AI401" s="1824"/>
      <c r="AJ401" s="1824"/>
    </row>
    <row r="402" spans="1:36" ht="12.95" customHeight="1">
      <c r="D402" s="3" t="s">
        <v>1658</v>
      </c>
      <c r="S402" s="1753" t="s">
        <v>591</v>
      </c>
      <c r="T402" s="1753"/>
      <c r="U402" s="1753"/>
      <c r="V402" t="s">
        <v>1663</v>
      </c>
      <c r="AE402" s="1819"/>
      <c r="AF402" s="1819"/>
      <c r="AG402" s="1819"/>
      <c r="AH402" s="1819"/>
      <c r="AI402" s="1819"/>
      <c r="AJ402" s="1819"/>
    </row>
    <row r="403" spans="1:36" ht="12.95"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1662</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1665</v>
      </c>
      <c r="E405" s="477"/>
      <c r="F405" s="477"/>
      <c r="G405" s="477"/>
      <c r="H405" s="477"/>
      <c r="I405" s="477"/>
      <c r="J405" s="477"/>
      <c r="K405" s="477"/>
      <c r="L405" s="477"/>
      <c r="M405" s="477"/>
      <c r="N405" s="477"/>
      <c r="O405" s="477"/>
      <c r="P405" s="477"/>
      <c r="Q405" s="477"/>
      <c r="R405" s="477"/>
      <c r="S405" s="1829" t="s">
        <v>1184</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2700</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591</v>
      </c>
      <c r="S411" s="1332"/>
      <c r="AC411" s="27" t="s">
        <v>570</v>
      </c>
      <c r="AD411" s="1665"/>
      <c r="AE411" s="1665"/>
    </row>
    <row r="412" spans="1:36" ht="12.95" customHeight="1">
      <c r="E412" t="s">
        <v>107</v>
      </c>
      <c r="R412" s="1332" t="s">
        <v>591</v>
      </c>
      <c r="S412" s="1332"/>
      <c r="AC412" s="27" t="s">
        <v>570</v>
      </c>
      <c r="AD412" s="1665"/>
      <c r="AE412" s="1665"/>
    </row>
    <row r="413" spans="1:36" ht="12.95" customHeight="1">
      <c r="E413" t="s">
        <v>108</v>
      </c>
      <c r="S413" s="1332" t="s">
        <v>591</v>
      </c>
      <c r="T413" s="1332"/>
    </row>
    <row r="414" spans="1:36" ht="12.95" customHeight="1">
      <c r="E414" t="s">
        <v>170</v>
      </c>
      <c r="H414" s="1759" t="s">
        <v>334</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2.95"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2.95" customHeight="1"/>
    <row r="417" spans="1:39" ht="12.95" customHeight="1">
      <c r="A417" s="2" t="s">
        <v>590</v>
      </c>
      <c r="B417" s="2"/>
      <c r="C417" s="2"/>
      <c r="D417" s="2" t="s">
        <v>114</v>
      </c>
      <c r="AF417" s="2" t="s">
        <v>957</v>
      </c>
    </row>
    <row r="418" spans="1:39" ht="12.95" customHeight="1">
      <c r="E418" s="1818"/>
      <c r="F418" s="1818"/>
      <c r="G418" s="1818"/>
      <c r="H418" s="13" t="s">
        <v>115</v>
      </c>
      <c r="I418" s="1818"/>
      <c r="J418" s="1818"/>
      <c r="K418" s="1818"/>
      <c r="L418" t="s">
        <v>116</v>
      </c>
      <c r="N418" s="27" t="s">
        <v>575</v>
      </c>
      <c r="P418" s="1762">
        <v>4.09</v>
      </c>
      <c r="Q418" s="1762"/>
      <c r="R418" s="1762"/>
      <c r="S418" t="s">
        <v>117</v>
      </c>
      <c r="W418" s="1828">
        <f>IF(E418&gt;0,(E418*I418),(P418*43560))</f>
        <v>178160.4</v>
      </c>
      <c r="X418" s="1828"/>
      <c r="Y418" s="1828"/>
      <c r="Z418" t="s">
        <v>118</v>
      </c>
      <c r="AF418" s="1763">
        <f>IFERROR(IF(P418&gt;0,(AG437/P418),(AG437/(W418/43560))),0)</f>
        <v>15.647921760391199</v>
      </c>
      <c r="AG418" s="1763"/>
      <c r="AH418" s="1763"/>
      <c r="AM418" s="3"/>
    </row>
    <row r="419" spans="1:39" ht="12.95" customHeight="1">
      <c r="E419" t="s">
        <v>51</v>
      </c>
    </row>
    <row r="420" spans="1:39" ht="12.9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1736</v>
      </c>
      <c r="F421" s="1013"/>
      <c r="G421" s="1013"/>
      <c r="H421" s="1013"/>
      <c r="I421" s="1761">
        <v>4.09</v>
      </c>
      <c r="J421" s="1761"/>
      <c r="K421" s="1761"/>
      <c r="L421" s="1013"/>
      <c r="M421" s="118"/>
      <c r="N421" s="1013"/>
      <c r="O421" s="1013"/>
      <c r="P421" s="1442">
        <f>(DU755+DU778+DU800)/I421</f>
        <v>15.89242053789731</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15</v>
      </c>
      <c r="Q424" s="1332"/>
      <c r="S424" t="s">
        <v>189</v>
      </c>
      <c r="AE424" s="1332">
        <v>14</v>
      </c>
      <c r="AF424" s="1332"/>
    </row>
    <row r="425" spans="1:39" ht="12.95" customHeight="1">
      <c r="E425" t="s">
        <v>190</v>
      </c>
      <c r="P425" s="1332"/>
      <c r="Q425" s="1332"/>
      <c r="S425" t="s">
        <v>131</v>
      </c>
      <c r="AE425" s="1332" t="s">
        <v>591</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608</v>
      </c>
      <c r="P429" s="1"/>
      <c r="Q429" s="1332" t="s">
        <v>545</v>
      </c>
      <c r="R429" s="1332"/>
    </row>
    <row r="430" spans="1:39" ht="12.95" customHeight="1">
      <c r="F430" t="s">
        <v>609</v>
      </c>
      <c r="P430" s="1"/>
      <c r="Q430" s="1"/>
      <c r="AF430" s="1332" t="s">
        <v>591</v>
      </c>
      <c r="AG430" s="1826"/>
    </row>
    <row r="431" spans="1:39" ht="12.95" customHeight="1"/>
    <row r="432" spans="1:39" ht="12.95" customHeight="1">
      <c r="A432" s="2"/>
      <c r="B432" s="2"/>
      <c r="C432" s="2"/>
      <c r="E432" s="4" t="s">
        <v>308</v>
      </c>
      <c r="Z432" s="1332" t="s">
        <v>545</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669</v>
      </c>
      <c r="AA434" s="1332"/>
    </row>
    <row r="435" spans="1:55" ht="12.95" customHeight="1"/>
    <row r="436" spans="1:55" ht="12.95" customHeight="1">
      <c r="A436" s="2" t="s">
        <v>467</v>
      </c>
      <c r="B436" s="2"/>
      <c r="C436" s="2"/>
      <c r="D436" s="2" t="s">
        <v>764</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3">
        <v>64</v>
      </c>
      <c r="AH437" s="1823"/>
      <c r="AI437" s="1823"/>
      <c r="AJ437" s="1823"/>
    </row>
    <row r="438" spans="1:55" ht="12.95" customHeight="1">
      <c r="D438" s="1745" t="s">
        <v>1222</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7">
        <v>0</v>
      </c>
      <c r="AH438" s="1614"/>
      <c r="AI438" s="1614"/>
      <c r="AJ438" s="1614"/>
    </row>
    <row r="439" spans="1:55" ht="12.95" customHeight="1">
      <c r="D439" s="1745" t="s">
        <v>1031</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3">
        <v>63</v>
      </c>
      <c r="AH439" s="1823"/>
      <c r="AI439" s="1823"/>
      <c r="AJ439" s="1823"/>
    </row>
    <row r="440" spans="1:55" ht="12.95" customHeight="1">
      <c r="D440" s="1745" t="s">
        <v>1032</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3">
        <v>63</v>
      </c>
      <c r="AH440" s="1823"/>
      <c r="AI440" s="1823"/>
      <c r="AJ440" s="1823"/>
    </row>
    <row r="441" spans="1:55" ht="12.95" customHeight="1">
      <c r="D441" s="1745" t="s">
        <v>1034</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8">
        <f>IF(ISERROR(AG440/AG439),0,AG440/AG439)</f>
        <v>1</v>
      </c>
      <c r="AH441" s="1808"/>
      <c r="AI441" s="1808"/>
      <c r="AJ441" s="1808"/>
    </row>
    <row r="442" spans="1:55" ht="12.95" customHeight="1">
      <c r="D442" s="1745" t="s">
        <v>1033</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v>39398</v>
      </c>
      <c r="AH442" s="1697"/>
      <c r="AI442" s="1697"/>
      <c r="AJ442" s="1697"/>
    </row>
    <row r="443" spans="1:55" ht="12.95" customHeight="1">
      <c r="D443" s="1745" t="s">
        <v>1035</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v>39398</v>
      </c>
      <c r="AH443" s="1697"/>
      <c r="AI443" s="1697"/>
      <c r="AJ443" s="1697"/>
    </row>
    <row r="444" spans="1:55" ht="12.95" customHeight="1">
      <c r="D444" s="1745" t="s">
        <v>1036</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8">
        <f>IF(ISERROR(AG443/AG442),0,AG443/AG442)</f>
        <v>1</v>
      </c>
      <c r="AH444" s="1808"/>
      <c r="AI444" s="1808"/>
      <c r="AJ444" s="1808"/>
    </row>
    <row r="445" spans="1:55" ht="12.95" customHeight="1">
      <c r="D445" s="1745" t="s">
        <v>1037</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8">
        <f>MIN(IF(AG441&gt;AG444,AG444,AG441),1)</f>
        <v>1</v>
      </c>
      <c r="AH445" s="1808"/>
      <c r="AI445" s="1808"/>
      <c r="AJ445" s="1808"/>
    </row>
    <row r="446" spans="1:55" ht="12.95" customHeight="1">
      <c r="D446" s="1745"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697">
        <v>2816</v>
      </c>
      <c r="AH446" s="1697"/>
      <c r="AI446" s="1697"/>
      <c r="AJ446" s="1697"/>
      <c r="AZ446" s="34"/>
      <c r="BA446" s="34"/>
      <c r="BB446" s="34"/>
      <c r="BC446" s="34"/>
    </row>
    <row r="447" spans="1:55" ht="12.95"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697">
        <v>0</v>
      </c>
      <c r="AH447" s="1697"/>
      <c r="AI447" s="1697"/>
      <c r="AJ447" s="1697"/>
      <c r="AZ447" s="3"/>
      <c r="BA447" s="3"/>
      <c r="BB447" s="3"/>
      <c r="BC447" s="3"/>
    </row>
    <row r="448" spans="1:55" ht="12.95" customHeight="1">
      <c r="D448" s="1745"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697">
        <v>3589</v>
      </c>
      <c r="AH448" s="1697"/>
      <c r="AI448" s="1697"/>
      <c r="AJ448" s="1697"/>
      <c r="AZ448" s="3"/>
      <c r="BA448" s="3"/>
      <c r="BB448" s="3"/>
      <c r="BC448" s="3"/>
    </row>
    <row r="449" spans="1:55" ht="12.95" customHeight="1">
      <c r="D449" s="1745"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697">
        <v>0</v>
      </c>
      <c r="AH449" s="1697"/>
      <c r="AI449" s="1697"/>
      <c r="AJ449" s="1697"/>
      <c r="BB449" s="3"/>
      <c r="BC449" s="3"/>
    </row>
    <row r="450" spans="1:55" ht="12.95"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8">
        <f>AG442+AG446+AG448+AG449</f>
        <v>45803</v>
      </c>
      <c r="AH450" s="1848"/>
      <c r="AI450" s="1848"/>
      <c r="AJ450" s="1848"/>
      <c r="AZ450" s="3"/>
      <c r="BA450" s="3"/>
      <c r="BB450" s="3"/>
      <c r="BC450" s="3"/>
    </row>
    <row r="451" spans="1:55" ht="12.95" customHeight="1">
      <c r="D451" s="1748" t="s">
        <v>1206</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2.95"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264540.453125</v>
      </c>
      <c r="AD454" s="1815"/>
      <c r="AE454" s="1815"/>
      <c r="AF454" s="1815"/>
      <c r="AG454" s="177"/>
      <c r="AH454" s="177"/>
      <c r="AI454" s="177"/>
      <c r="AJ454" s="183"/>
      <c r="AZ454" s="3"/>
      <c r="BA454" s="3" t="str">
        <f>AG575</f>
        <v>No</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264540.453125</v>
      </c>
      <c r="AD455" s="1815"/>
      <c r="AE455" s="1815"/>
      <c r="AF455" s="181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223759.3125</v>
      </c>
      <c r="AD456" s="1815"/>
      <c r="AE456" s="1815"/>
      <c r="AF456" s="1815"/>
      <c r="AG456" s="177"/>
      <c r="AH456" s="177"/>
      <c r="AI456" s="177"/>
      <c r="AJ456" s="183"/>
      <c r="AZ456" s="3"/>
      <c r="BA456" s="3"/>
      <c r="BB456" s="3"/>
      <c r="BC456" s="3"/>
    </row>
    <row r="457" spans="1:55" ht="12.95" customHeight="1">
      <c r="D457" s="177"/>
      <c r="E457" s="177"/>
      <c r="F457" s="1735" t="str">
        <f>IFERROR(IF(AC454&gt;650000,"Please provide a justification of cost per unit in Tab 12 for all projects with per unit costs of greater than $650,000.",""),"")</f>
        <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2.95"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5" t="s">
        <v>2100</v>
      </c>
      <c r="E465" s="1756"/>
      <c r="F465" s="1756"/>
      <c r="G465" s="1756"/>
      <c r="H465" s="1756"/>
      <c r="I465" s="1756"/>
      <c r="J465" s="1756"/>
      <c r="K465" s="1756"/>
      <c r="L465" s="1756"/>
      <c r="M465" s="1756"/>
      <c r="N465" s="1756"/>
      <c r="O465" s="1756"/>
      <c r="P465" s="1756"/>
      <c r="Q465" s="1756"/>
      <c r="R465" s="1756"/>
      <c r="S465" s="1756"/>
      <c r="T465" s="1756"/>
      <c r="U465" s="1756"/>
      <c r="V465" s="1757"/>
      <c r="W465" s="1667">
        <v>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5" t="s">
        <v>2191</v>
      </c>
      <c r="E472" s="1852"/>
      <c r="F472" s="1852"/>
      <c r="G472" s="1852"/>
      <c r="H472" s="1852"/>
      <c r="I472" s="1852"/>
      <c r="J472" s="1852"/>
      <c r="K472" s="1852"/>
      <c r="L472" s="1852"/>
      <c r="M472" s="1852"/>
      <c r="N472" s="1852"/>
      <c r="O472" s="1852"/>
      <c r="P472" s="1852"/>
      <c r="Q472" s="1852"/>
      <c r="R472" s="1852"/>
      <c r="S472" s="1852"/>
      <c r="T472" s="1852"/>
      <c r="U472" s="1852"/>
      <c r="V472" s="1853"/>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5" t="s">
        <v>1654</v>
      </c>
      <c r="E473" s="1756"/>
      <c r="F473" s="1756"/>
      <c r="G473" s="1756"/>
      <c r="H473" s="1756"/>
      <c r="I473" s="1756"/>
      <c r="J473" s="1756"/>
      <c r="K473" s="1756"/>
      <c r="L473" s="1756"/>
      <c r="M473" s="1756"/>
      <c r="N473" s="1756"/>
      <c r="O473" s="1756"/>
      <c r="P473" s="1756"/>
      <c r="Q473" s="1756"/>
      <c r="R473" s="1756"/>
      <c r="S473" s="1756"/>
      <c r="T473" s="1756"/>
      <c r="U473" s="1756"/>
      <c r="V473" s="1757"/>
      <c r="W473" s="1667">
        <v>0</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0"/>
      <c r="H474" s="1701"/>
      <c r="I474" s="1701"/>
      <c r="J474" s="1701"/>
      <c r="K474" s="1701"/>
      <c r="L474" s="1701"/>
      <c r="M474" s="1701"/>
      <c r="N474" s="1701"/>
      <c r="O474" s="1701"/>
      <c r="P474" s="1701"/>
      <c r="Q474" s="1701"/>
      <c r="R474" s="1701"/>
      <c r="S474" s="1701"/>
      <c r="T474" s="1701"/>
      <c r="U474" s="1701"/>
      <c r="V474" s="1702"/>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5" customHeight="1">
      <c r="B486" s="45" t="s">
        <v>394</v>
      </c>
      <c r="C486" s="5"/>
      <c r="D486" s="5"/>
      <c r="E486" s="5"/>
      <c r="F486" s="5"/>
      <c r="G486" s="5"/>
      <c r="H486" s="5"/>
      <c r="I486" s="5"/>
      <c r="J486" s="5"/>
      <c r="K486" s="5"/>
      <c r="L486" s="5"/>
      <c r="M486" s="5"/>
      <c r="N486" s="5"/>
      <c r="O486" s="5"/>
      <c r="P486" s="5"/>
      <c r="Q486" s="1578" t="s">
        <v>2701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2702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591</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669</v>
      </c>
      <c r="R489" s="1843"/>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2703</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2704</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8">
        <v>86</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1669</v>
      </c>
      <c r="C495" s="5"/>
      <c r="D495" s="5"/>
      <c r="E495" s="5"/>
      <c r="F495" s="5"/>
      <c r="G495" s="5"/>
      <c r="H495" s="5"/>
      <c r="I495" s="5"/>
      <c r="J495" s="5"/>
      <c r="K495" s="5"/>
      <c r="L495" s="5"/>
      <c r="M495" s="1447">
        <v>63</v>
      </c>
      <c r="N495" s="1448"/>
      <c r="O495" s="1448"/>
      <c r="P495" s="1449"/>
      <c r="Q495" s="121" t="s">
        <v>1670</v>
      </c>
      <c r="R495" s="5"/>
      <c r="S495" s="5"/>
      <c r="T495" s="5"/>
      <c r="U495" s="5"/>
      <c r="V495" s="5"/>
      <c r="W495" s="5"/>
      <c r="X495" s="5"/>
      <c r="Y495" s="5"/>
      <c r="Z495" s="5"/>
      <c r="AA495" s="5"/>
      <c r="AB495" s="5"/>
      <c r="AC495" s="5"/>
      <c r="AD495" s="5"/>
      <c r="AE495" s="5"/>
      <c r="AF495" s="5"/>
      <c r="AG495" s="5"/>
      <c r="AH495" s="1447">
        <v>23</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2.95" customHeight="1">
      <c r="B501" s="1674"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4">
        <v>6</v>
      </c>
      <c r="AD501" s="1665"/>
      <c r="AE501" s="1665"/>
      <c r="AF501" s="1665"/>
      <c r="AG501" s="13" t="s">
        <v>403</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5"/>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4">
        <v>1</v>
      </c>
      <c r="AD502" s="1665"/>
      <c r="AE502" s="1665"/>
      <c r="AF502" s="1665"/>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4"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4" t="s">
        <v>591</v>
      </c>
      <c r="AD503" s="1665"/>
      <c r="AE503" s="1665"/>
      <c r="AF503" s="1665"/>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5"/>
      <c r="C504" s="1434"/>
      <c r="D504" s="1434"/>
      <c r="E504" s="1434"/>
      <c r="F504" s="1434"/>
      <c r="G504" s="1434"/>
      <c r="H504" s="1435"/>
      <c r="I504" t="s">
        <v>410</v>
      </c>
      <c r="AC504" s="1664" t="s">
        <v>591</v>
      </c>
      <c r="AD504" s="1665"/>
      <c r="AE504" s="1665"/>
      <c r="AF504" s="1665"/>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5"/>
      <c r="C505" s="1434"/>
      <c r="D505" s="1434"/>
      <c r="E505" s="1434"/>
      <c r="F505" s="1434"/>
      <c r="G505" s="1434"/>
      <c r="H505" s="1435"/>
      <c r="I505" t="s">
        <v>411</v>
      </c>
      <c r="AC505" s="1664" t="s">
        <v>591</v>
      </c>
      <c r="AD505" s="1665"/>
      <c r="AE505" s="1665"/>
      <c r="AF505" s="1665"/>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5"/>
      <c r="C506" s="1434"/>
      <c r="D506" s="1434"/>
      <c r="E506" s="1434"/>
      <c r="F506" s="1434"/>
      <c r="G506" s="1434"/>
      <c r="H506" s="1435"/>
      <c r="I506" t="s">
        <v>412</v>
      </c>
      <c r="AC506" s="1664" t="s">
        <v>591</v>
      </c>
      <c r="AD506" s="1665"/>
      <c r="AE506" s="1665"/>
      <c r="AF506" s="1665"/>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5"/>
      <c r="C507" s="1434"/>
      <c r="D507" s="1434"/>
      <c r="E507" s="1434"/>
      <c r="F507" s="1434"/>
      <c r="G507" s="1434"/>
      <c r="H507" s="1435"/>
      <c r="I507" s="3" t="s">
        <v>413</v>
      </c>
      <c r="AC507" s="1337">
        <v>1</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5"/>
      <c r="C508" s="1434"/>
      <c r="D508" s="1434"/>
      <c r="E508" s="1434"/>
      <c r="F508" s="1434"/>
      <c r="G508" s="1434"/>
      <c r="H508" s="1435"/>
      <c r="I508" s="896"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47"/>
      <c r="AC508" s="1664" t="s">
        <v>591</v>
      </c>
      <c r="AD508" s="1665"/>
      <c r="AE508" s="1665"/>
      <c r="AF508" s="1665"/>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3" t="s">
        <v>669</v>
      </c>
      <c r="AD509" s="1823"/>
      <c r="AE509" s="1823"/>
      <c r="AF509" s="1823"/>
      <c r="AG509" s="13"/>
      <c r="AH509" s="1335"/>
      <c r="AI509" s="1335"/>
      <c r="AJ509" s="1335"/>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v>0.75</v>
      </c>
      <c r="AD512" s="1834"/>
      <c r="AE512" s="1834"/>
      <c r="AF512" s="1835"/>
      <c r="AG512" s="38"/>
      <c r="AH512" s="1750"/>
      <c r="AI512" s="1750"/>
      <c r="AJ512" s="1750"/>
      <c r="AK512" s="1751"/>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2105</v>
      </c>
    </row>
    <row r="514" spans="2:66" ht="12.95" customHeight="1">
      <c r="B514" s="1674"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4">
        <v>5</v>
      </c>
      <c r="AD514" s="1665"/>
      <c r="AE514" s="1665"/>
      <c r="AF514" s="1665"/>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5"/>
      <c r="C515" s="1434"/>
      <c r="D515" s="1434"/>
      <c r="E515" s="1434"/>
      <c r="F515" s="1434"/>
      <c r="G515" s="1434"/>
      <c r="H515" s="1435"/>
      <c r="I515" t="s">
        <v>416</v>
      </c>
      <c r="AC515" s="1664">
        <v>5</v>
      </c>
      <c r="AD515" s="1665"/>
      <c r="AE515" s="1665"/>
      <c r="AF515" s="1665"/>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5"/>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4">
        <v>1</v>
      </c>
      <c r="AD516" s="1665"/>
      <c r="AE516" s="1665"/>
      <c r="AF516" s="1665"/>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4"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5"/>
      <c r="C518" s="1434"/>
      <c r="D518" s="1434"/>
      <c r="E518" s="1434"/>
      <c r="F518" s="1434"/>
      <c r="G518" s="1434"/>
      <c r="H518" s="1435"/>
      <c r="I518" t="s">
        <v>416</v>
      </c>
      <c r="AC518" s="1664">
        <v>5</v>
      </c>
      <c r="AD518" s="1665"/>
      <c r="AE518" s="1665"/>
      <c r="AF518" s="1665"/>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2.95" customHeight="1">
      <c r="B519" s="1676"/>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4">
        <v>1</v>
      </c>
      <c r="AD519" s="1665"/>
      <c r="AE519" s="1665"/>
      <c r="AF519" s="1665"/>
      <c r="AG519" s="38" t="s">
        <v>403</v>
      </c>
      <c r="AH519" s="1403">
        <v>2026</v>
      </c>
      <c r="AI519" s="1403"/>
      <c r="AJ519" s="1403"/>
      <c r="AK519" s="1404"/>
      <c r="BB519" s="3"/>
      <c r="BC519" s="3"/>
      <c r="BD519" s="3"/>
      <c r="BE519" s="3"/>
      <c r="BF519" s="3"/>
      <c r="BG519" s="3"/>
      <c r="BH519" s="3"/>
      <c r="BI519" s="3"/>
      <c r="BJ519" s="3"/>
      <c r="BK519" s="3"/>
      <c r="BL519" s="3"/>
      <c r="BM519" s="3"/>
      <c r="BN519" s="3" t="s">
        <v>2111</v>
      </c>
    </row>
    <row r="520" spans="2:66" ht="12.95" customHeight="1">
      <c r="B520" s="1674" t="s">
        <v>419</v>
      </c>
      <c r="C520" s="1432"/>
      <c r="D520" s="1432"/>
      <c r="E520" s="1432"/>
      <c r="F520" s="1432"/>
      <c r="G520" s="1432"/>
      <c r="H520" s="1433"/>
      <c r="I520" s="41" t="s">
        <v>420</v>
      </c>
      <c r="J520" s="42"/>
      <c r="K520" s="42"/>
      <c r="L520" s="42"/>
      <c r="M520" s="42"/>
      <c r="N520" s="42"/>
      <c r="O520" s="1752" t="s">
        <v>2705</v>
      </c>
      <c r="P520" s="1753"/>
      <c r="Q520" s="1753"/>
      <c r="R520" s="1753"/>
      <c r="S520" s="1753"/>
      <c r="T520" s="1753"/>
      <c r="U520" s="1753"/>
      <c r="V520" s="1753"/>
      <c r="W520" s="1753"/>
      <c r="X520" s="1753"/>
      <c r="Y520" s="1753"/>
      <c r="Z520" s="1753"/>
      <c r="AA520" s="1753"/>
      <c r="AB520" s="58"/>
      <c r="AC520" s="1337" t="s">
        <v>591</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5"/>
      <c r="C521" s="1434"/>
      <c r="D521" s="1434"/>
      <c r="E521" s="1434"/>
      <c r="F521" s="1434"/>
      <c r="G521" s="1434"/>
      <c r="H521" s="1435"/>
      <c r="I521" s="114" t="s">
        <v>421</v>
      </c>
      <c r="AB521" s="65"/>
      <c r="AC521" s="1664">
        <v>5</v>
      </c>
      <c r="AD521" s="1665"/>
      <c r="AE521" s="1665"/>
      <c r="AF521" s="1665"/>
      <c r="AG521" s="13" t="s">
        <v>403</v>
      </c>
      <c r="AH521" s="1403">
        <v>2025</v>
      </c>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5"/>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4">
        <v>1</v>
      </c>
      <c r="AD522" s="1665"/>
      <c r="AE522" s="1665"/>
      <c r="AF522" s="1665"/>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5"/>
      <c r="C523" s="1434"/>
      <c r="D523" s="1434"/>
      <c r="E523" s="1434"/>
      <c r="F523" s="1434"/>
      <c r="G523" s="1434"/>
      <c r="H523" s="1435"/>
      <c r="I523" s="42" t="s">
        <v>423</v>
      </c>
      <c r="J523" s="42"/>
      <c r="K523" s="42"/>
      <c r="L523" s="42"/>
      <c r="M523" s="42"/>
      <c r="N523" s="42"/>
      <c r="O523" s="1752" t="s">
        <v>334</v>
      </c>
      <c r="P523" s="1753"/>
      <c r="Q523" s="1753"/>
      <c r="R523" s="1753"/>
      <c r="S523" s="1753"/>
      <c r="T523" s="1753"/>
      <c r="U523" s="1753"/>
      <c r="V523" s="1753"/>
      <c r="W523" s="1753"/>
      <c r="X523" s="1753"/>
      <c r="Y523" s="1753"/>
      <c r="Z523" s="1753"/>
      <c r="AA523" s="1753"/>
      <c r="AC523" s="1664" t="s">
        <v>591</v>
      </c>
      <c r="AD523" s="1665"/>
      <c r="AE523" s="1665"/>
      <c r="AF523" s="1665"/>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5"/>
      <c r="C524" s="1434"/>
      <c r="D524" s="1434"/>
      <c r="E524" s="1434"/>
      <c r="F524" s="1434"/>
      <c r="G524" s="1434"/>
      <c r="H524" s="1435"/>
      <c r="I524" t="s">
        <v>421</v>
      </c>
      <c r="AC524" s="1664" t="s">
        <v>591</v>
      </c>
      <c r="AD524" s="1665"/>
      <c r="AE524" s="1665"/>
      <c r="AF524" s="1665"/>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5"/>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4" t="s">
        <v>591</v>
      </c>
      <c r="AD525" s="1665"/>
      <c r="AE525" s="1665"/>
      <c r="AF525" s="1665"/>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5"/>
      <c r="C526" s="1434"/>
      <c r="D526" s="1434"/>
      <c r="E526" s="1434"/>
      <c r="F526" s="1434"/>
      <c r="G526" s="1434"/>
      <c r="H526" s="1435"/>
      <c r="I526" s="42" t="s">
        <v>423</v>
      </c>
      <c r="J526" s="42"/>
      <c r="K526" s="42"/>
      <c r="L526" s="42"/>
      <c r="M526" s="42"/>
      <c r="N526" s="42"/>
      <c r="O526" s="1752" t="s">
        <v>334</v>
      </c>
      <c r="P526" s="1753"/>
      <c r="Q526" s="1753"/>
      <c r="R526" s="1753"/>
      <c r="S526" s="1753"/>
      <c r="T526" s="1753"/>
      <c r="U526" s="1753"/>
      <c r="V526" s="1753"/>
      <c r="W526" s="1753"/>
      <c r="X526" s="1753"/>
      <c r="Y526" s="1753"/>
      <c r="Z526" s="1753"/>
      <c r="AA526" s="1753"/>
      <c r="AC526" s="1664" t="s">
        <v>591</v>
      </c>
      <c r="AD526" s="1665"/>
      <c r="AE526" s="1665"/>
      <c r="AF526" s="1665"/>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5"/>
      <c r="C527" s="1434"/>
      <c r="D527" s="1434"/>
      <c r="E527" s="1434"/>
      <c r="F527" s="1434"/>
      <c r="G527" s="1434"/>
      <c r="H527" s="1435"/>
      <c r="I527" t="s">
        <v>421</v>
      </c>
      <c r="AC527" s="1664" t="s">
        <v>591</v>
      </c>
      <c r="AD527" s="1665"/>
      <c r="AE527" s="1665"/>
      <c r="AF527" s="1665"/>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5"/>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4" t="s">
        <v>591</v>
      </c>
      <c r="AD528" s="1665"/>
      <c r="AE528" s="1665"/>
      <c r="AF528" s="1665"/>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5"/>
      <c r="C529" s="1434"/>
      <c r="D529" s="1434"/>
      <c r="E529" s="1434"/>
      <c r="F529" s="1434"/>
      <c r="G529" s="1434"/>
      <c r="H529" s="1435"/>
      <c r="I529" s="42" t="s">
        <v>423</v>
      </c>
      <c r="J529" s="42"/>
      <c r="K529" s="42"/>
      <c r="L529" s="42"/>
      <c r="M529" s="42"/>
      <c r="N529" s="42"/>
      <c r="O529" s="1752" t="s">
        <v>334</v>
      </c>
      <c r="P529" s="1753"/>
      <c r="Q529" s="1753"/>
      <c r="R529" s="1753"/>
      <c r="S529" s="1753"/>
      <c r="T529" s="1753"/>
      <c r="U529" s="1753"/>
      <c r="V529" s="1753"/>
      <c r="W529" s="1753"/>
      <c r="X529" s="1753"/>
      <c r="Y529" s="1753"/>
      <c r="Z529" s="1753"/>
      <c r="AA529" s="1753"/>
      <c r="AC529" s="1664" t="s">
        <v>591</v>
      </c>
      <c r="AD529" s="1665"/>
      <c r="AE529" s="1665"/>
      <c r="AF529" s="1665"/>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5"/>
      <c r="C530" s="1434"/>
      <c r="D530" s="1434"/>
      <c r="E530" s="1434"/>
      <c r="F530" s="1434"/>
      <c r="G530" s="1434"/>
      <c r="H530" s="1435"/>
      <c r="I530" t="s">
        <v>421</v>
      </c>
      <c r="AC530" s="1664" t="s">
        <v>591</v>
      </c>
      <c r="AD530" s="1665"/>
      <c r="AE530" s="1665"/>
      <c r="AF530" s="1665"/>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5"/>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4" t="s">
        <v>591</v>
      </c>
      <c r="AD531" s="1665"/>
      <c r="AE531" s="1665"/>
      <c r="AF531" s="1665"/>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5"/>
      <c r="C532" s="1434"/>
      <c r="D532" s="1434"/>
      <c r="E532" s="1434"/>
      <c r="F532" s="1434"/>
      <c r="G532" s="1434"/>
      <c r="H532" s="1435"/>
      <c r="I532" s="42" t="s">
        <v>423</v>
      </c>
      <c r="J532" s="42"/>
      <c r="K532" s="42"/>
      <c r="L532" s="42"/>
      <c r="M532" s="42"/>
      <c r="N532" s="42"/>
      <c r="O532" s="1752" t="s">
        <v>334</v>
      </c>
      <c r="P532" s="1753"/>
      <c r="Q532" s="1753"/>
      <c r="R532" s="1753"/>
      <c r="S532" s="1753"/>
      <c r="T532" s="1753"/>
      <c r="U532" s="1753"/>
      <c r="V532" s="1753"/>
      <c r="W532" s="1753"/>
      <c r="X532" s="1753"/>
      <c r="Y532" s="1753"/>
      <c r="Z532" s="1753"/>
      <c r="AA532" s="1753"/>
      <c r="AC532" s="1664" t="s">
        <v>591</v>
      </c>
      <c r="AD532" s="1665"/>
      <c r="AE532" s="1665"/>
      <c r="AF532" s="1665"/>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5"/>
      <c r="C533" s="1434"/>
      <c r="D533" s="1434"/>
      <c r="E533" s="1434"/>
      <c r="F533" s="1434"/>
      <c r="G533" s="1434"/>
      <c r="H533" s="1435"/>
      <c r="I533" t="s">
        <v>421</v>
      </c>
      <c r="AC533" s="1664" t="s">
        <v>591</v>
      </c>
      <c r="AD533" s="1665"/>
      <c r="AE533" s="1665"/>
      <c r="AF533" s="1665"/>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5"/>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4" t="s">
        <v>591</v>
      </c>
      <c r="AD534" s="1665"/>
      <c r="AE534" s="1665"/>
      <c r="AF534" s="1665"/>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5"/>
      <c r="C535" s="1434"/>
      <c r="D535" s="1434"/>
      <c r="E535" s="1434"/>
      <c r="F535" s="1434"/>
      <c r="G535" s="1434"/>
      <c r="H535" s="1435"/>
      <c r="I535" s="42" t="s">
        <v>423</v>
      </c>
      <c r="J535" s="42"/>
      <c r="K535" s="42"/>
      <c r="L535" s="42"/>
      <c r="M535" s="42"/>
      <c r="N535" s="42"/>
      <c r="O535" s="1752" t="s">
        <v>334</v>
      </c>
      <c r="P535" s="1753"/>
      <c r="Q535" s="1753"/>
      <c r="R535" s="1753"/>
      <c r="S535" s="1753"/>
      <c r="T535" s="1753"/>
      <c r="U535" s="1753"/>
      <c r="V535" s="1753"/>
      <c r="W535" s="1753"/>
      <c r="X535" s="1753"/>
      <c r="Y535" s="1753"/>
      <c r="Z535" s="1753"/>
      <c r="AA535" s="1753"/>
      <c r="AC535" s="1664" t="s">
        <v>591</v>
      </c>
      <c r="AD535" s="1665"/>
      <c r="AE535" s="1665"/>
      <c r="AF535" s="1665"/>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5"/>
      <c r="C536" s="1434"/>
      <c r="D536" s="1434"/>
      <c r="E536" s="1434"/>
      <c r="F536" s="1434"/>
      <c r="G536" s="1434"/>
      <c r="H536" s="1435"/>
      <c r="I536" t="s">
        <v>421</v>
      </c>
      <c r="AC536" s="1664" t="s">
        <v>591</v>
      </c>
      <c r="AD536" s="1665"/>
      <c r="AE536" s="1665"/>
      <c r="AF536" s="1665"/>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5"/>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4" t="s">
        <v>591</v>
      </c>
      <c r="AD537" s="1665"/>
      <c r="AE537" s="1665"/>
      <c r="AF537" s="1665"/>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5"/>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4">
        <v>1</v>
      </c>
      <c r="AD538" s="1665"/>
      <c r="AE538" s="1665"/>
      <c r="AF538" s="1665"/>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5"/>
      <c r="C539" s="1434"/>
      <c r="D539" s="1434"/>
      <c r="E539" s="1434"/>
      <c r="F539" s="1434"/>
      <c r="G539" s="1434"/>
      <c r="H539" s="1435"/>
      <c r="I539" t="s">
        <v>563</v>
      </c>
      <c r="AC539" s="1664">
        <v>2</v>
      </c>
      <c r="AD539" s="1665"/>
      <c r="AE539" s="1665"/>
      <c r="AF539" s="1665"/>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5"/>
      <c r="C540" s="1434"/>
      <c r="D540" s="1434"/>
      <c r="E540" s="1434"/>
      <c r="F540" s="1434"/>
      <c r="G540" s="1434"/>
      <c r="H540" s="1435"/>
      <c r="I540" t="s">
        <v>564</v>
      </c>
      <c r="AC540" s="1664">
        <v>1</v>
      </c>
      <c r="AD540" s="1665"/>
      <c r="AE540" s="1665"/>
      <c r="AF540" s="1665"/>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5"/>
      <c r="C541" s="1434"/>
      <c r="D541" s="1434"/>
      <c r="E541" s="1434"/>
      <c r="F541" s="1434"/>
      <c r="G541" s="1434"/>
      <c r="H541" s="1435"/>
      <c r="I541" t="s">
        <v>565</v>
      </c>
      <c r="AC541" s="1664">
        <v>1</v>
      </c>
      <c r="AD541" s="1665"/>
      <c r="AE541" s="1665"/>
      <c r="AF541" s="1665"/>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6"/>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4">
        <v>1</v>
      </c>
      <c r="AD542" s="1665"/>
      <c r="AE542" s="1665"/>
      <c r="AF542" s="1665"/>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4" t="s">
        <v>2103</v>
      </c>
      <c r="C551" s="1432"/>
      <c r="D551" s="1432"/>
      <c r="E551" s="1432"/>
      <c r="F551" s="1432"/>
      <c r="G551" s="1432"/>
      <c r="H551" s="1432"/>
      <c r="I551" s="1432"/>
      <c r="J551" s="1432"/>
      <c r="K551" s="1432"/>
      <c r="L551" s="1433"/>
      <c r="M551" s="1674" t="s">
        <v>2104</v>
      </c>
      <c r="N551" s="1432"/>
      <c r="O551" s="1432"/>
      <c r="P551" s="1433"/>
      <c r="Q551" s="1674" t="s">
        <v>2130</v>
      </c>
      <c r="R551" s="1432"/>
      <c r="S551" s="1433"/>
      <c r="T551" s="1674" t="s">
        <v>2131</v>
      </c>
      <c r="U551" s="1432"/>
      <c r="V551" s="1433"/>
      <c r="W551" s="1674" t="s">
        <v>453</v>
      </c>
      <c r="X551" s="1432"/>
      <c r="Y551" s="1433"/>
      <c r="Z551" s="1674" t="s">
        <v>1852</v>
      </c>
      <c r="AA551" s="1432"/>
      <c r="AB551" s="1432"/>
      <c r="AC551" s="1432"/>
      <c r="AD551" s="1433"/>
      <c r="AE551" s="1674" t="s">
        <v>1676</v>
      </c>
      <c r="AF551" s="1432"/>
      <c r="AG551" s="1432"/>
      <c r="AH551" s="1433"/>
      <c r="AI551" s="1674" t="s">
        <v>1677</v>
      </c>
      <c r="AJ551" s="1432"/>
      <c r="AK551" s="1432"/>
      <c r="AL551" s="1433"/>
      <c r="AM551" s="1674" t="s">
        <v>454</v>
      </c>
      <c r="AN551" s="1432"/>
      <c r="AO551" s="1432"/>
      <c r="AP551" s="1432"/>
      <c r="AQ551" s="1432"/>
      <c r="AR551" s="1432"/>
      <c r="AS551" s="1433"/>
      <c r="BB551" s="3"/>
      <c r="BC551" s="3"/>
      <c r="BD551" s="3"/>
      <c r="BE551" s="3"/>
      <c r="BF551" s="3"/>
      <c r="BG551" s="3"/>
      <c r="BH551" s="3" t="s">
        <v>581</v>
      </c>
      <c r="BI551" s="3" t="str">
        <f>AG657</f>
        <v>No</v>
      </c>
    </row>
    <row r="552" spans="1:61" ht="12.95" customHeight="1">
      <c r="B552" s="1675"/>
      <c r="C552" s="1434"/>
      <c r="D552" s="1434"/>
      <c r="E552" s="1434"/>
      <c r="F552" s="1434"/>
      <c r="G552" s="1434"/>
      <c r="H552" s="1434"/>
      <c r="I552" s="1434"/>
      <c r="J552" s="1434"/>
      <c r="K552" s="1434"/>
      <c r="L552" s="1435"/>
      <c r="M552" s="1675"/>
      <c r="N552" s="1434"/>
      <c r="O552" s="1434"/>
      <c r="P552" s="1435"/>
      <c r="Q552" s="1675"/>
      <c r="R552" s="1434"/>
      <c r="S552" s="1435"/>
      <c r="T552" s="1675"/>
      <c r="U552" s="1434"/>
      <c r="V552" s="1435"/>
      <c r="W552" s="1675"/>
      <c r="X552" s="1434"/>
      <c r="Y552" s="1435"/>
      <c r="Z552" s="1675"/>
      <c r="AA552" s="1434"/>
      <c r="AB552" s="1434"/>
      <c r="AC552" s="1434"/>
      <c r="AD552" s="1435"/>
      <c r="AE552" s="1675"/>
      <c r="AF552" s="1434"/>
      <c r="AG552" s="1434"/>
      <c r="AH552" s="1435"/>
      <c r="AI552" s="1675"/>
      <c r="AJ552" s="1434"/>
      <c r="AK552" s="1434"/>
      <c r="AL552" s="1435"/>
      <c r="AM552" s="1675"/>
      <c r="AN552" s="1434"/>
      <c r="AO552" s="1434"/>
      <c r="AP552" s="1434"/>
      <c r="AQ552" s="1434"/>
      <c r="AR552" s="1434"/>
      <c r="AS552" s="1435"/>
      <c r="AU552" s="1147"/>
      <c r="BB552" s="3"/>
      <c r="BC552" s="3"/>
      <c r="BD552" s="3"/>
      <c r="BE552" s="3"/>
      <c r="BF552" s="3"/>
      <c r="BG552" s="3"/>
      <c r="BH552" s="3"/>
      <c r="BI552" s="3"/>
    </row>
    <row r="553" spans="1:61" ht="12.95" customHeight="1">
      <c r="B553" s="1676"/>
      <c r="C553" s="1436"/>
      <c r="D553" s="1436"/>
      <c r="E553" s="1436"/>
      <c r="F553" s="1436"/>
      <c r="G553" s="1436"/>
      <c r="H553" s="1436"/>
      <c r="I553" s="1436"/>
      <c r="J553" s="1436"/>
      <c r="K553" s="1436"/>
      <c r="L553" s="1437"/>
      <c r="M553" s="1676"/>
      <c r="N553" s="1436"/>
      <c r="O553" s="1436"/>
      <c r="P553" s="1437"/>
      <c r="Q553" s="1676"/>
      <c r="R553" s="1436"/>
      <c r="S553" s="1437"/>
      <c r="T553" s="1676"/>
      <c r="U553" s="1436"/>
      <c r="V553" s="1437"/>
      <c r="W553" s="1676"/>
      <c r="X553" s="1436"/>
      <c r="Y553" s="1437"/>
      <c r="Z553" s="1676"/>
      <c r="AA553" s="1436"/>
      <c r="AB553" s="1436"/>
      <c r="AC553" s="1436"/>
      <c r="AD553" s="1437"/>
      <c r="AE553" s="1676"/>
      <c r="AF553" s="1436"/>
      <c r="AG553" s="1436"/>
      <c r="AH553" s="1437"/>
      <c r="AI553" s="1676"/>
      <c r="AJ553" s="1436"/>
      <c r="AK553" s="1436"/>
      <c r="AL553" s="1437"/>
      <c r="AM553" s="1676"/>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5" t="s">
        <v>2723</v>
      </c>
      <c r="D554" s="1695"/>
      <c r="E554" s="1695"/>
      <c r="F554" s="1695"/>
      <c r="G554" s="1695"/>
      <c r="H554" s="1695"/>
      <c r="I554" s="1695"/>
      <c r="J554" s="1695"/>
      <c r="K554" s="1695"/>
      <c r="L554" s="1695"/>
      <c r="M554" s="1695" t="s">
        <v>2120</v>
      </c>
      <c r="N554" s="1695"/>
      <c r="O554" s="1695"/>
      <c r="P554" s="1695"/>
      <c r="Q554" s="1454">
        <v>18</v>
      </c>
      <c r="R554" s="1454"/>
      <c r="S554" s="1455"/>
      <c r="T554" s="1453">
        <v>18</v>
      </c>
      <c r="U554" s="1454"/>
      <c r="V554" s="1455"/>
      <c r="W554" s="1456"/>
      <c r="X554" s="1457"/>
      <c r="Y554" s="1458"/>
      <c r="Z554" s="1696" t="s">
        <v>2724</v>
      </c>
      <c r="AA554" s="1696"/>
      <c r="AB554" s="1696"/>
      <c r="AC554" s="1696"/>
      <c r="AD554" s="1696"/>
      <c r="AE554" s="1677">
        <v>1</v>
      </c>
      <c r="AF554" s="1678"/>
      <c r="AG554" s="1678"/>
      <c r="AH554" s="1679"/>
      <c r="AI554" s="1680"/>
      <c r="AJ554" s="1681"/>
      <c r="AK554" s="1681"/>
      <c r="AL554" s="1682"/>
      <c r="AM554" s="1670">
        <v>7750000</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2723</v>
      </c>
      <c r="D555" s="1683"/>
      <c r="E555" s="1683"/>
      <c r="F555" s="1683"/>
      <c r="G555" s="1683"/>
      <c r="H555" s="1683"/>
      <c r="I555" s="1683"/>
      <c r="J555" s="1683"/>
      <c r="K555" s="1683"/>
      <c r="L555" s="1683"/>
      <c r="M555" s="1695" t="s">
        <v>2119</v>
      </c>
      <c r="N555" s="1695"/>
      <c r="O555" s="1695"/>
      <c r="P555" s="1695"/>
      <c r="Q555" s="1453">
        <v>18</v>
      </c>
      <c r="R555" s="1454"/>
      <c r="S555" s="1455"/>
      <c r="T555" s="1453">
        <v>18</v>
      </c>
      <c r="U555" s="1454"/>
      <c r="V555" s="1455"/>
      <c r="W555" s="1456"/>
      <c r="X555" s="1457"/>
      <c r="Y555" s="1458"/>
      <c r="Z555" s="1696" t="s">
        <v>2724</v>
      </c>
      <c r="AA555" s="1696"/>
      <c r="AB555" s="1696"/>
      <c r="AC555" s="1696"/>
      <c r="AD555" s="1696"/>
      <c r="AE555" s="1677">
        <v>1</v>
      </c>
      <c r="AF555" s="1678"/>
      <c r="AG555" s="1678"/>
      <c r="AH555" s="1679"/>
      <c r="AI555" s="1680"/>
      <c r="AJ555" s="1681"/>
      <c r="AK555" s="1681"/>
      <c r="AL555" s="1682"/>
      <c r="AM555" s="1670">
        <v>1250000</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2705</v>
      </c>
      <c r="D556" s="1683"/>
      <c r="E556" s="1683"/>
      <c r="F556" s="1683"/>
      <c r="G556" s="1683"/>
      <c r="H556" s="1683"/>
      <c r="I556" s="1683"/>
      <c r="J556" s="1683"/>
      <c r="K556" s="1683"/>
      <c r="L556" s="1683"/>
      <c r="M556" s="1695" t="s">
        <v>2114</v>
      </c>
      <c r="N556" s="1695"/>
      <c r="O556" s="1695"/>
      <c r="P556" s="1695"/>
      <c r="Q556" s="1453">
        <v>360</v>
      </c>
      <c r="R556" s="1454"/>
      <c r="S556" s="1455"/>
      <c r="T556" s="1453">
        <v>600</v>
      </c>
      <c r="U556" s="1454"/>
      <c r="V556" s="1455"/>
      <c r="W556" s="1456">
        <v>0.01</v>
      </c>
      <c r="X556" s="1457"/>
      <c r="Y556" s="1458"/>
      <c r="Z556" s="1696" t="s">
        <v>2725</v>
      </c>
      <c r="AA556" s="1696"/>
      <c r="AB556" s="1696"/>
      <c r="AC556" s="1696"/>
      <c r="AD556" s="1696"/>
      <c r="AE556" s="1677">
        <v>2</v>
      </c>
      <c r="AF556" s="1678"/>
      <c r="AG556" s="1678"/>
      <c r="AH556" s="1679"/>
      <c r="AI556" s="1680">
        <v>3776</v>
      </c>
      <c r="AJ556" s="1681"/>
      <c r="AK556" s="1681"/>
      <c r="AL556" s="1682"/>
      <c r="AM556" s="1670">
        <v>2342068</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2706</v>
      </c>
      <c r="D557" s="1683"/>
      <c r="E557" s="1683"/>
      <c r="F557" s="1683"/>
      <c r="G557" s="1683"/>
      <c r="H557" s="1683"/>
      <c r="I557" s="1683"/>
      <c r="J557" s="1683"/>
      <c r="K557" s="1683"/>
      <c r="L557" s="1683"/>
      <c r="M557" s="1695" t="s">
        <v>2111</v>
      </c>
      <c r="N557" s="1695"/>
      <c r="O557" s="1695"/>
      <c r="P557" s="1695"/>
      <c r="Q557" s="1453"/>
      <c r="R557" s="1454"/>
      <c r="S557" s="1455"/>
      <c r="T557" s="1453"/>
      <c r="U557" s="1454"/>
      <c r="V557" s="1455"/>
      <c r="W557" s="1456"/>
      <c r="X557" s="1457"/>
      <c r="Y557" s="1458"/>
      <c r="Z557" s="1696" t="s">
        <v>591</v>
      </c>
      <c r="AA557" s="1696"/>
      <c r="AB557" s="1696"/>
      <c r="AC557" s="1696"/>
      <c r="AD557" s="1696"/>
      <c r="AE557" s="1677"/>
      <c r="AF557" s="1678"/>
      <c r="AG557" s="1678"/>
      <c r="AH557" s="1679"/>
      <c r="AI557" s="1680"/>
      <c r="AJ557" s="1681"/>
      <c r="AK557" s="1681"/>
      <c r="AL557" s="1682"/>
      <c r="AM557" s="1670">
        <f>16930589-13671869</f>
        <v>3258720</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763</v>
      </c>
      <c r="C558" s="1683" t="s">
        <v>2707</v>
      </c>
      <c r="D558" s="1683"/>
      <c r="E558" s="1683"/>
      <c r="F558" s="1683"/>
      <c r="G558" s="1683"/>
      <c r="H558" s="1683"/>
      <c r="I558" s="1683"/>
      <c r="J558" s="1683"/>
      <c r="K558" s="1683"/>
      <c r="L558" s="1683"/>
      <c r="M558" s="1695" t="s">
        <v>2124</v>
      </c>
      <c r="N558" s="1695"/>
      <c r="O558" s="1695"/>
      <c r="P558" s="1695"/>
      <c r="Q558" s="1453"/>
      <c r="R558" s="1454"/>
      <c r="S558" s="1455"/>
      <c r="T558" s="1453"/>
      <c r="U558" s="1454"/>
      <c r="V558" s="1455"/>
      <c r="W558" s="1456"/>
      <c r="X558" s="1457"/>
      <c r="Y558" s="1458"/>
      <c r="Z558" s="1696" t="s">
        <v>591</v>
      </c>
      <c r="AA558" s="1696"/>
      <c r="AB558" s="1696"/>
      <c r="AC558" s="1696"/>
      <c r="AD558" s="1696"/>
      <c r="AE558" s="1677"/>
      <c r="AF558" s="1678"/>
      <c r="AG558" s="1678"/>
      <c r="AH558" s="1679"/>
      <c r="AI558" s="1680"/>
      <c r="AJ558" s="1681"/>
      <c r="AK558" s="1681"/>
      <c r="AL558" s="1682"/>
      <c r="AM558" s="1670">
        <v>565232</v>
      </c>
      <c r="AN558" s="1671"/>
      <c r="AO558" s="1671"/>
      <c r="AP558" s="1671"/>
      <c r="AQ558" s="1671"/>
      <c r="AR558" s="1671"/>
      <c r="AS558" s="1672"/>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3" t="s">
        <v>2726</v>
      </c>
      <c r="D559" s="1683"/>
      <c r="E559" s="1683"/>
      <c r="F559" s="1683"/>
      <c r="G559" s="1683"/>
      <c r="H559" s="1683"/>
      <c r="I559" s="1683"/>
      <c r="J559" s="1683"/>
      <c r="K559" s="1683"/>
      <c r="L559" s="1683"/>
      <c r="M559" s="1695" t="s">
        <v>2122</v>
      </c>
      <c r="N559" s="1695"/>
      <c r="O559" s="1695"/>
      <c r="P559" s="1695"/>
      <c r="Q559" s="1453"/>
      <c r="R559" s="1454"/>
      <c r="S559" s="1455"/>
      <c r="T559" s="1453"/>
      <c r="U559" s="1454"/>
      <c r="V559" s="1455"/>
      <c r="W559" s="1456"/>
      <c r="X559" s="1457"/>
      <c r="Y559" s="1458"/>
      <c r="Z559" s="1696" t="s">
        <v>591</v>
      </c>
      <c r="AA559" s="1696"/>
      <c r="AB559" s="1696"/>
      <c r="AC559" s="1696"/>
      <c r="AD559" s="1696"/>
      <c r="AE559" s="1677"/>
      <c r="AF559" s="1678"/>
      <c r="AG559" s="1678"/>
      <c r="AH559" s="1679"/>
      <c r="AI559" s="1680"/>
      <c r="AJ559" s="1681"/>
      <c r="AK559" s="1681"/>
      <c r="AL559" s="1682"/>
      <c r="AM559" s="1670">
        <v>84515</v>
      </c>
      <c r="AN559" s="1671"/>
      <c r="AO559" s="1671"/>
      <c r="AP559" s="1671"/>
      <c r="AQ559" s="1671"/>
      <c r="AR559" s="1671"/>
      <c r="AS559" s="1672"/>
      <c r="AT559" s="1148" t="str">
        <f t="shared" si="0"/>
        <v/>
      </c>
      <c r="AU559" s="1147"/>
      <c r="BB559" s="3"/>
      <c r="BC559" s="3"/>
      <c r="BD559" s="3"/>
      <c r="BE559" s="3"/>
      <c r="BF559" s="3"/>
      <c r="BG559" s="3"/>
      <c r="BH559" s="3" t="s">
        <v>584</v>
      </c>
      <c r="BI559" s="3" t="str">
        <f>AG665</f>
        <v>Yes</v>
      </c>
    </row>
    <row r="560" spans="1:61" ht="12.95" customHeight="1">
      <c r="B560" s="52" t="s">
        <v>455</v>
      </c>
      <c r="C560" s="1683" t="s">
        <v>2322</v>
      </c>
      <c r="D560" s="1683"/>
      <c r="E560" s="1683"/>
      <c r="F560" s="1683"/>
      <c r="G560" s="1683"/>
      <c r="H560" s="1683"/>
      <c r="I560" s="1683"/>
      <c r="J560" s="1683"/>
      <c r="K560" s="1683"/>
      <c r="L560" s="1683"/>
      <c r="M560" s="1695" t="s">
        <v>2107</v>
      </c>
      <c r="N560" s="1695"/>
      <c r="O560" s="1695"/>
      <c r="P560" s="1695"/>
      <c r="Q560" s="1453">
        <v>180</v>
      </c>
      <c r="R560" s="1454"/>
      <c r="S560" s="1455"/>
      <c r="T560" s="1453">
        <v>180</v>
      </c>
      <c r="U560" s="1454"/>
      <c r="V560" s="1455"/>
      <c r="W560" s="1456">
        <v>0</v>
      </c>
      <c r="X560" s="1457"/>
      <c r="Y560" s="1458"/>
      <c r="Z560" s="1696" t="s">
        <v>591</v>
      </c>
      <c r="AA560" s="1696"/>
      <c r="AB560" s="1696"/>
      <c r="AC560" s="1696"/>
      <c r="AD560" s="1696"/>
      <c r="AE560" s="1677"/>
      <c r="AF560" s="1678"/>
      <c r="AG560" s="1678"/>
      <c r="AH560" s="1679"/>
      <c r="AI560" s="1680"/>
      <c r="AJ560" s="1681"/>
      <c r="AK560" s="1681"/>
      <c r="AL560" s="1682"/>
      <c r="AM560" s="1670">
        <v>1680054</v>
      </c>
      <c r="AN560" s="1671"/>
      <c r="AO560" s="1671"/>
      <c r="AP560" s="1671"/>
      <c r="AQ560" s="1671"/>
      <c r="AR560" s="1671"/>
      <c r="AS560" s="1672"/>
      <c r="AT560" s="1148" t="str">
        <f t="shared" si="0"/>
        <v/>
      </c>
      <c r="AU560" s="1147"/>
      <c r="BB560" s="3"/>
      <c r="BC560" s="3"/>
      <c r="BD560" s="3"/>
      <c r="BE560" s="3"/>
      <c r="BF560" s="3"/>
      <c r="BG560" s="3"/>
      <c r="BH560" s="3"/>
      <c r="BI560" s="3"/>
    </row>
    <row r="561" spans="1:61" ht="12.95" customHeight="1">
      <c r="B561" s="52" t="s">
        <v>456</v>
      </c>
      <c r="C561" s="1683"/>
      <c r="D561" s="1683"/>
      <c r="E561" s="1683"/>
      <c r="F561" s="1683"/>
      <c r="G561" s="1683"/>
      <c r="H561" s="1683"/>
      <c r="I561" s="1683"/>
      <c r="J561" s="1683"/>
      <c r="K561" s="1683"/>
      <c r="L561" s="1683"/>
      <c r="M561" s="1695" t="s">
        <v>1184</v>
      </c>
      <c r="N561" s="1695"/>
      <c r="O561" s="1695"/>
      <c r="P561" s="1695"/>
      <c r="Q561" s="1453"/>
      <c r="R561" s="1454"/>
      <c r="S561" s="1455"/>
      <c r="T561" s="1453"/>
      <c r="U561" s="1454"/>
      <c r="V561" s="1455"/>
      <c r="W561" s="1456"/>
      <c r="X561" s="1457"/>
      <c r="Y561" s="1458"/>
      <c r="Z561" s="1696" t="s">
        <v>1184</v>
      </c>
      <c r="AA561" s="1696"/>
      <c r="AB561" s="1696"/>
      <c r="AC561" s="1696"/>
      <c r="AD561" s="1696"/>
      <c r="AE561" s="1677"/>
      <c r="AF561" s="1678"/>
      <c r="AG561" s="1678"/>
      <c r="AH561" s="1679"/>
      <c r="AI561" s="1680"/>
      <c r="AJ561" s="1681"/>
      <c r="AK561" s="1681"/>
      <c r="AL561" s="1682"/>
      <c r="AM561" s="1670"/>
      <c r="AN561" s="1671"/>
      <c r="AO561" s="1671"/>
      <c r="AP561" s="1671"/>
      <c r="AQ561" s="1671"/>
      <c r="AR561" s="1671"/>
      <c r="AS561" s="1672"/>
      <c r="AT561" s="1148" t="str">
        <f t="shared" si="0"/>
        <v/>
      </c>
      <c r="AU561" s="1147"/>
      <c r="BB561" s="3"/>
      <c r="BC561" s="3"/>
      <c r="BD561" s="3"/>
      <c r="BE561" s="3"/>
      <c r="BF561" s="3"/>
      <c r="BG561" s="3"/>
      <c r="BH561" s="3"/>
      <c r="BI561" s="3"/>
    </row>
    <row r="562" spans="1:61" ht="12.95" customHeight="1">
      <c r="B562" s="52" t="s">
        <v>461</v>
      </c>
      <c r="C562" s="1683"/>
      <c r="D562" s="1683"/>
      <c r="E562" s="1683"/>
      <c r="F562" s="1683"/>
      <c r="G562" s="1683"/>
      <c r="H562" s="1683"/>
      <c r="I562" s="1683"/>
      <c r="J562" s="1683"/>
      <c r="K562" s="1683"/>
      <c r="L562" s="1683"/>
      <c r="M562" s="1695" t="s">
        <v>1184</v>
      </c>
      <c r="N562" s="1695"/>
      <c r="O562" s="1695"/>
      <c r="P562" s="1695"/>
      <c r="Q562" s="1453"/>
      <c r="R562" s="1454"/>
      <c r="S562" s="1455"/>
      <c r="T562" s="1453"/>
      <c r="U562" s="1454"/>
      <c r="V562" s="1455"/>
      <c r="W562" s="1456"/>
      <c r="X562" s="1457"/>
      <c r="Y562" s="1458"/>
      <c r="Z562" s="1696" t="s">
        <v>1184</v>
      </c>
      <c r="AA562" s="1696"/>
      <c r="AB562" s="1696"/>
      <c r="AC562" s="1696"/>
      <c r="AD562" s="1696"/>
      <c r="AE562" s="1677"/>
      <c r="AF562" s="1678"/>
      <c r="AG562" s="1678"/>
      <c r="AH562" s="1679"/>
      <c r="AI562" s="1680"/>
      <c r="AJ562" s="1681"/>
      <c r="AK562" s="1681"/>
      <c r="AL562" s="1682"/>
      <c r="AM562" s="1670"/>
      <c r="AN562" s="1671"/>
      <c r="AO562" s="1671"/>
      <c r="AP562" s="1671"/>
      <c r="AQ562" s="1671"/>
      <c r="AR562" s="1671"/>
      <c r="AS562" s="1672"/>
      <c r="AT562" s="1148" t="str">
        <f t="shared" si="0"/>
        <v/>
      </c>
      <c r="AU562" s="1147"/>
      <c r="BB562" s="3"/>
      <c r="BC562" s="3"/>
      <c r="BD562" s="3"/>
      <c r="BE562" s="3"/>
      <c r="BF562" s="3"/>
      <c r="BG562" s="3"/>
      <c r="BH562" s="3"/>
      <c r="BI562" s="3"/>
    </row>
    <row r="563" spans="1:61" ht="12.95" customHeight="1">
      <c r="B563" s="52" t="s">
        <v>646</v>
      </c>
      <c r="C563" s="1683"/>
      <c r="D563" s="1683"/>
      <c r="E563" s="1683"/>
      <c r="F563" s="1683"/>
      <c r="G563" s="1683"/>
      <c r="H563" s="1683"/>
      <c r="I563" s="1683"/>
      <c r="J563" s="1683"/>
      <c r="K563" s="1683"/>
      <c r="L563" s="1683"/>
      <c r="M563" s="1695" t="s">
        <v>1184</v>
      </c>
      <c r="N563" s="1695"/>
      <c r="O563" s="1695"/>
      <c r="P563" s="1695"/>
      <c r="Q563" s="1453"/>
      <c r="R563" s="1454"/>
      <c r="S563" s="1455"/>
      <c r="T563" s="1453"/>
      <c r="U563" s="1454"/>
      <c r="V563" s="1455"/>
      <c r="W563" s="1456"/>
      <c r="X563" s="1457"/>
      <c r="Y563" s="1458"/>
      <c r="Z563" s="1696" t="s">
        <v>1184</v>
      </c>
      <c r="AA563" s="1696"/>
      <c r="AB563" s="1696"/>
      <c r="AC563" s="1696"/>
      <c r="AD563" s="1696"/>
      <c r="AE563" s="1677"/>
      <c r="AF563" s="1678"/>
      <c r="AG563" s="1678"/>
      <c r="AH563" s="1679"/>
      <c r="AI563" s="1680"/>
      <c r="AJ563" s="1681"/>
      <c r="AK563" s="1681"/>
      <c r="AL563" s="1682"/>
      <c r="AM563" s="1670"/>
      <c r="AN563" s="1671"/>
      <c r="AO563" s="1671"/>
      <c r="AP563" s="1671"/>
      <c r="AQ563" s="1671"/>
      <c r="AR563" s="1671"/>
      <c r="AS563" s="1672"/>
      <c r="AT563" s="1148" t="str">
        <f t="shared" si="0"/>
        <v/>
      </c>
      <c r="BB563" s="3"/>
      <c r="BC563" s="3"/>
      <c r="BD563" s="3"/>
      <c r="BE563" s="3"/>
      <c r="BF563" s="3"/>
      <c r="BG563" s="3"/>
      <c r="BH563" s="3"/>
      <c r="BI563" s="3"/>
    </row>
    <row r="564" spans="1:61" ht="12.95" customHeight="1">
      <c r="B564" s="52" t="s">
        <v>362</v>
      </c>
      <c r="C564" s="1683"/>
      <c r="D564" s="1683"/>
      <c r="E564" s="1683"/>
      <c r="F564" s="1683"/>
      <c r="G564" s="1683"/>
      <c r="H564" s="1683"/>
      <c r="I564" s="1683"/>
      <c r="J564" s="1683"/>
      <c r="K564" s="1683"/>
      <c r="L564" s="1683"/>
      <c r="M564" s="1695" t="s">
        <v>1184</v>
      </c>
      <c r="N564" s="1695"/>
      <c r="O564" s="1695"/>
      <c r="P564" s="1695"/>
      <c r="Q564" s="1453"/>
      <c r="R564" s="1454"/>
      <c r="S564" s="1455"/>
      <c r="T564" s="1453"/>
      <c r="U564" s="1454"/>
      <c r="V564" s="1455"/>
      <c r="W564" s="1456"/>
      <c r="X564" s="1457"/>
      <c r="Y564" s="1458"/>
      <c r="Z564" s="1696" t="s">
        <v>1184</v>
      </c>
      <c r="AA564" s="1696"/>
      <c r="AB564" s="1696"/>
      <c r="AC564" s="1696"/>
      <c r="AD564" s="1696"/>
      <c r="AE564" s="1677"/>
      <c r="AF564" s="1678"/>
      <c r="AG564" s="1678"/>
      <c r="AH564" s="1679"/>
      <c r="AI564" s="1680"/>
      <c r="AJ564" s="1681"/>
      <c r="AK564" s="1681"/>
      <c r="AL564" s="1682"/>
      <c r="AM564" s="1670"/>
      <c r="AN564" s="1671"/>
      <c r="AO564" s="1671"/>
      <c r="AP564" s="1671"/>
      <c r="AQ564" s="1671"/>
      <c r="AR564" s="1671"/>
      <c r="AS564" s="1672"/>
      <c r="AT564" s="1148" t="str">
        <f t="shared" si="0"/>
        <v/>
      </c>
      <c r="BB564" s="3"/>
      <c r="BC564" s="3"/>
      <c r="BD564" s="3"/>
      <c r="BE564" s="3"/>
      <c r="BF564" s="3"/>
      <c r="BG564" s="3"/>
      <c r="BH564" s="3"/>
      <c r="BI564" s="3"/>
    </row>
    <row r="565" spans="1:61" ht="12.95" customHeight="1">
      <c r="B565" s="52" t="s">
        <v>363</v>
      </c>
      <c r="C565" s="1683"/>
      <c r="D565" s="1683"/>
      <c r="E565" s="1683"/>
      <c r="F565" s="1683"/>
      <c r="G565" s="1683"/>
      <c r="H565" s="1683"/>
      <c r="I565" s="1683"/>
      <c r="J565" s="1683"/>
      <c r="K565" s="1683"/>
      <c r="L565" s="1683"/>
      <c r="M565" s="1695" t="s">
        <v>1184</v>
      </c>
      <c r="N565" s="1695"/>
      <c r="O565" s="1695"/>
      <c r="P565" s="1695"/>
      <c r="Q565" s="1453"/>
      <c r="R565" s="1454"/>
      <c r="S565" s="1455"/>
      <c r="T565" s="1453"/>
      <c r="U565" s="1454"/>
      <c r="V565" s="1455"/>
      <c r="W565" s="1456"/>
      <c r="X565" s="1457"/>
      <c r="Y565" s="1458"/>
      <c r="Z565" s="1696" t="s">
        <v>1184</v>
      </c>
      <c r="AA565" s="1696"/>
      <c r="AB565" s="1696"/>
      <c r="AC565" s="1696"/>
      <c r="AD565" s="1696"/>
      <c r="AE565" s="1677"/>
      <c r="AF565" s="1678"/>
      <c r="AG565" s="1678"/>
      <c r="AH565" s="1679"/>
      <c r="AI565" s="1680"/>
      <c r="AJ565" s="1681"/>
      <c r="AK565" s="1681"/>
      <c r="AL565" s="1682"/>
      <c r="AM565" s="1670"/>
      <c r="AN565" s="1671"/>
      <c r="AO565" s="1671"/>
      <c r="AP565" s="1671"/>
      <c r="AQ565" s="1671"/>
      <c r="AR565" s="1671"/>
      <c r="AS565" s="1672"/>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16930589</v>
      </c>
      <c r="AN566" s="1617"/>
      <c r="AO566" s="1617"/>
      <c r="AP566" s="1617"/>
      <c r="AQ566" s="1617"/>
      <c r="AR566" s="1617"/>
      <c r="AS566" s="1618"/>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California Bank &amp; Trust</v>
      </c>
      <c r="H568" s="1359"/>
      <c r="I568" s="1359"/>
      <c r="J568" s="1359"/>
      <c r="K568" s="1359"/>
      <c r="L568" s="1359"/>
      <c r="M568" s="1359"/>
      <c r="N568" s="1359"/>
      <c r="O568" s="1359"/>
      <c r="P568" s="1359"/>
      <c r="Q568" s="1359"/>
      <c r="R568" s="1359"/>
      <c r="S568" s="8"/>
      <c r="T568" s="55" t="s">
        <v>113</v>
      </c>
      <c r="U568" t="s">
        <v>463</v>
      </c>
      <c r="Z568" s="1359" t="str">
        <f>C555</f>
        <v>California Bank &amp; Trust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2738</v>
      </c>
      <c r="H569" s="1372"/>
      <c r="I569" s="1372"/>
      <c r="J569" s="1372"/>
      <c r="K569" s="1372"/>
      <c r="L569" s="1372"/>
      <c r="M569" s="1372"/>
      <c r="N569" s="1372"/>
      <c r="O569" s="1372"/>
      <c r="P569" s="1372"/>
      <c r="Q569" s="1372"/>
      <c r="R569" s="1372"/>
      <c r="S569" s="8"/>
      <c r="T569" s="22"/>
      <c r="U569" t="s">
        <v>85</v>
      </c>
      <c r="Z569" s="1372" t="s">
        <v>2738</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494</v>
      </c>
      <c r="H570" s="1372"/>
      <c r="I570" s="1372"/>
      <c r="J570" s="1372"/>
      <c r="K570" s="1372"/>
      <c r="L570" s="1372"/>
      <c r="M570" s="1372"/>
      <c r="N570" s="1372"/>
      <c r="O570" s="1372"/>
      <c r="P570" s="1372"/>
      <c r="Q570" s="1372"/>
      <c r="R570" s="1372"/>
      <c r="T570" s="22"/>
      <c r="U570" t="s">
        <v>580</v>
      </c>
      <c r="Z570" s="1349" t="s">
        <v>494</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2739</v>
      </c>
      <c r="H571" s="1372"/>
      <c r="I571" s="1372"/>
      <c r="J571" s="1372"/>
      <c r="K571" s="1372"/>
      <c r="L571" s="1372"/>
      <c r="M571" s="1372"/>
      <c r="N571" s="1372"/>
      <c r="O571" s="1372"/>
      <c r="P571" s="1372"/>
      <c r="Q571" s="1372"/>
      <c r="R571" s="1372"/>
      <c r="S571" s="8"/>
      <c r="T571" s="22"/>
      <c r="U571" t="s">
        <v>17</v>
      </c>
      <c r="Z571" s="1349" t="s">
        <v>2739</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2740</v>
      </c>
      <c r="H572" s="1347"/>
      <c r="I572" s="1347"/>
      <c r="J572" s="1347"/>
      <c r="K572" s="1347"/>
      <c r="L572" s="1347"/>
      <c r="O572" s="33" t="s">
        <v>206</v>
      </c>
      <c r="P572" s="1438"/>
      <c r="Q572" s="1438"/>
      <c r="R572" s="1438"/>
      <c r="S572" s="10"/>
      <c r="T572" s="22"/>
      <c r="U572" t="s">
        <v>316</v>
      </c>
      <c r="Z572" s="1346" t="s">
        <v>2740</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2741</v>
      </c>
      <c r="I573" s="1372"/>
      <c r="J573" s="1372"/>
      <c r="K573" s="1372"/>
      <c r="L573" s="1372"/>
      <c r="M573" s="1372"/>
      <c r="N573" s="1372"/>
      <c r="O573" s="1372"/>
      <c r="P573" s="1372"/>
      <c r="Q573" s="1372"/>
      <c r="R573" s="1372"/>
      <c r="S573" s="8"/>
      <c r="T573" s="22"/>
      <c r="U573" t="s">
        <v>18</v>
      </c>
      <c r="AA573" s="1372" t="s">
        <v>2741</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8" t="s">
        <v>2749</v>
      </c>
      <c r="N574" s="1699"/>
      <c r="O574" s="1699"/>
      <c r="P574" s="1699"/>
      <c r="Q574" s="1699"/>
      <c r="R574" s="1699"/>
      <c r="S574" s="8"/>
      <c r="T574" s="22"/>
      <c r="U574" s="320" t="s">
        <v>1185</v>
      </c>
      <c r="AA574" s="8"/>
      <c r="AB574" s="8"/>
      <c r="AC574" s="8"/>
      <c r="AD574" s="8"/>
      <c r="AE574" s="8"/>
      <c r="AF574" s="1698" t="s">
        <v>2749</v>
      </c>
      <c r="AG574" s="1699"/>
      <c r="AH574" s="1699"/>
      <c r="AI574" s="1699"/>
      <c r="AJ574" s="1699"/>
      <c r="AK574" s="1699"/>
      <c r="BB574" s="3"/>
      <c r="BC574" s="3"/>
      <c r="BD574" s="3"/>
      <c r="BE574" s="3"/>
      <c r="BF574" s="3"/>
      <c r="BG574" s="3"/>
      <c r="BH574" s="3"/>
      <c r="BI574" s="3"/>
    </row>
    <row r="575" spans="1:61" ht="12.95" customHeight="1">
      <c r="A575" s="22"/>
      <c r="B575" t="s">
        <v>20</v>
      </c>
      <c r="N575" s="1332" t="s">
        <v>545</v>
      </c>
      <c r="O575" s="1332"/>
      <c r="T575" s="22"/>
      <c r="U575" t="s">
        <v>20</v>
      </c>
      <c r="AG575" s="1332" t="s">
        <v>669</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USDA RD 515 Assumption</v>
      </c>
      <c r="H577" s="1359"/>
      <c r="I577" s="1359"/>
      <c r="J577" s="1359"/>
      <c r="K577" s="1359"/>
      <c r="L577" s="1359"/>
      <c r="M577" s="1359"/>
      <c r="N577" s="1359"/>
      <c r="O577" s="1359"/>
      <c r="P577" s="1359"/>
      <c r="Q577" s="1359"/>
      <c r="R577" s="1359"/>
      <c r="T577" s="55" t="s">
        <v>581</v>
      </c>
      <c r="U577" t="s">
        <v>463</v>
      </c>
      <c r="Z577" s="1359" t="str">
        <f>C557</f>
        <v>WNC - Tax Credit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2727</v>
      </c>
      <c r="H578" s="1372"/>
      <c r="I578" s="1372"/>
      <c r="J578" s="1372"/>
      <c r="K578" s="1372"/>
      <c r="L578" s="1372"/>
      <c r="M578" s="1372"/>
      <c r="N578" s="1372"/>
      <c r="O578" s="1372"/>
      <c r="P578" s="1372"/>
      <c r="Q578" s="1372"/>
      <c r="R578" s="1372"/>
      <c r="T578" s="22"/>
      <c r="U578" t="s">
        <v>85</v>
      </c>
      <c r="Z578" s="1372" t="s">
        <v>2632</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2728</v>
      </c>
      <c r="H579" s="1349"/>
      <c r="I579" s="1349"/>
      <c r="J579" s="1349"/>
      <c r="K579" s="1349"/>
      <c r="L579" s="1349"/>
      <c r="M579" s="1349"/>
      <c r="N579" s="1349"/>
      <c r="O579" s="1349"/>
      <c r="P579" s="1349"/>
      <c r="Q579" s="1349"/>
      <c r="R579" s="1349"/>
      <c r="T579" s="22"/>
      <c r="U579" t="s">
        <v>580</v>
      </c>
      <c r="Z579" s="1349" t="s">
        <v>2633</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2729</v>
      </c>
      <c r="H580" s="1349"/>
      <c r="I580" s="1349"/>
      <c r="J580" s="1349"/>
      <c r="K580" s="1349"/>
      <c r="L580" s="1349"/>
      <c r="M580" s="1349"/>
      <c r="N580" s="1349"/>
      <c r="O580" s="1349"/>
      <c r="P580" s="1349"/>
      <c r="Q580" s="1349"/>
      <c r="R580" s="1349"/>
      <c r="T580" s="22"/>
      <c r="U580" t="s">
        <v>17</v>
      </c>
      <c r="Z580" s="1349" t="s">
        <v>2665</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2730</v>
      </c>
      <c r="H581" s="1347"/>
      <c r="I581" s="1347"/>
      <c r="J581" s="1347"/>
      <c r="K581" s="1347"/>
      <c r="L581" s="1347"/>
      <c r="O581" s="33" t="s">
        <v>206</v>
      </c>
      <c r="P581" s="1438"/>
      <c r="Q581" s="1438"/>
      <c r="R581" s="1438"/>
      <c r="T581" s="22"/>
      <c r="U581" t="s">
        <v>316</v>
      </c>
      <c r="Z581" s="1346" t="s">
        <v>2732</v>
      </c>
      <c r="AA581" s="1347"/>
      <c r="AB581" s="1347"/>
      <c r="AC581" s="1347"/>
      <c r="AD581" s="1347"/>
      <c r="AE581" s="1347"/>
      <c r="AH581" s="33" t="s">
        <v>206</v>
      </c>
      <c r="AI581" s="1438"/>
      <c r="AJ581" s="1438"/>
      <c r="AK581" s="1438"/>
      <c r="BB581" s="3"/>
      <c r="BC581" s="3"/>
    </row>
    <row r="582" spans="1:55" ht="12.95" customHeight="1">
      <c r="A582" s="22"/>
      <c r="B582" t="s">
        <v>18</v>
      </c>
      <c r="H582" s="1372" t="s">
        <v>2731</v>
      </c>
      <c r="I582" s="1372"/>
      <c r="J582" s="1372"/>
      <c r="K582" s="1372"/>
      <c r="L582" s="1372"/>
      <c r="M582" s="1372"/>
      <c r="N582" s="1372"/>
      <c r="O582" s="1372"/>
      <c r="P582" s="1372"/>
      <c r="Q582" s="1372"/>
      <c r="R582" s="1372"/>
      <c r="T582" s="22"/>
      <c r="U582" t="s">
        <v>18</v>
      </c>
      <c r="AA582" s="1372" t="s">
        <v>2733</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9" t="str">
        <f>C558</f>
        <v>Existing Reserves</v>
      </c>
      <c r="H585" s="1359"/>
      <c r="I585" s="1359"/>
      <c r="J585" s="1359"/>
      <c r="K585" s="1359"/>
      <c r="L585" s="1359"/>
      <c r="M585" s="1359"/>
      <c r="N585" s="1359"/>
      <c r="O585" s="1359"/>
      <c r="P585" s="1359"/>
      <c r="Q585" s="1359"/>
      <c r="R585" s="1359"/>
      <c r="T585" s="55" t="s">
        <v>584</v>
      </c>
      <c r="U585" t="s">
        <v>463</v>
      </c>
      <c r="Z585" s="1359" t="str">
        <f>C559</f>
        <v>NOI</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2622</v>
      </c>
      <c r="H586" s="1372"/>
      <c r="I586" s="1372"/>
      <c r="J586" s="1372"/>
      <c r="K586" s="1372"/>
      <c r="L586" s="1372"/>
      <c r="M586" s="1372"/>
      <c r="N586" s="1372"/>
      <c r="O586" s="1372"/>
      <c r="P586" s="1372"/>
      <c r="Q586" s="1372"/>
      <c r="R586" s="1372"/>
      <c r="T586" s="22"/>
      <c r="U586" t="s">
        <v>85</v>
      </c>
      <c r="Z586" s="1372" t="s">
        <v>2622</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2623</v>
      </c>
      <c r="H587" s="1372"/>
      <c r="I587" s="1372"/>
      <c r="J587" s="1372"/>
      <c r="K587" s="1372"/>
      <c r="L587" s="1372"/>
      <c r="M587" s="1372"/>
      <c r="N587" s="1372"/>
      <c r="O587" s="1372"/>
      <c r="P587" s="1372"/>
      <c r="Q587" s="1372"/>
      <c r="R587" s="1372"/>
      <c r="T587" s="22"/>
      <c r="U587" t="s">
        <v>580</v>
      </c>
      <c r="Z587" s="1349" t="s">
        <v>2623</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2714</v>
      </c>
      <c r="H588" s="1372"/>
      <c r="I588" s="1372"/>
      <c r="J588" s="1372"/>
      <c r="K588" s="1372"/>
      <c r="L588" s="1372"/>
      <c r="M588" s="1372"/>
      <c r="N588" s="1372"/>
      <c r="O588" s="1372"/>
      <c r="P588" s="1372"/>
      <c r="Q588" s="1372"/>
      <c r="R588" s="1372"/>
      <c r="T588" s="22"/>
      <c r="U588" t="s">
        <v>17</v>
      </c>
      <c r="Z588" s="1349" t="s">
        <v>2714</v>
      </c>
      <c r="AA588" s="1349"/>
      <c r="AB588" s="1349"/>
      <c r="AC588" s="1349"/>
      <c r="AD588" s="1349"/>
      <c r="AE588" s="1349"/>
      <c r="AF588" s="1349"/>
      <c r="AG588" s="1349"/>
      <c r="AH588" s="1349"/>
      <c r="AI588" s="1349"/>
      <c r="AJ588" s="1349"/>
      <c r="AK588" s="1349"/>
    </row>
    <row r="589" spans="1:55" ht="12.95" customHeight="1">
      <c r="A589" s="22"/>
      <c r="B589" t="s">
        <v>316</v>
      </c>
      <c r="G589" s="1346" t="s">
        <v>2734</v>
      </c>
      <c r="H589" s="1347"/>
      <c r="I589" s="1347"/>
      <c r="J589" s="1347"/>
      <c r="K589" s="1347"/>
      <c r="L589" s="1347"/>
      <c r="O589" s="33" t="s">
        <v>206</v>
      </c>
      <c r="P589" s="1438"/>
      <c r="Q589" s="1438"/>
      <c r="R589" s="1438"/>
      <c r="T589" s="22"/>
      <c r="U589" t="s">
        <v>316</v>
      </c>
      <c r="Z589" s="1346" t="s">
        <v>2734</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2735</v>
      </c>
      <c r="I590" s="1372"/>
      <c r="J590" s="1372"/>
      <c r="K590" s="1372"/>
      <c r="L590" s="1372"/>
      <c r="M590" s="1372"/>
      <c r="N590" s="1372"/>
      <c r="O590" s="1372"/>
      <c r="P590" s="1372"/>
      <c r="Q590" s="1372"/>
      <c r="R590" s="1372"/>
      <c r="T590" s="22"/>
      <c r="U590" t="s">
        <v>18</v>
      </c>
      <c r="AA590" s="1372" t="s">
        <v>2122</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Deferred Developer Fee</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2632</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2633</v>
      </c>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2736</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2737</v>
      </c>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2322</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3" t="s">
        <v>2103</v>
      </c>
      <c r="C624" s="1703"/>
      <c r="D624" s="1703"/>
      <c r="E624" s="1703"/>
      <c r="F624" s="1703"/>
      <c r="G624" s="1703"/>
      <c r="H624" s="1703"/>
      <c r="I624" s="1703"/>
      <c r="J624" s="1703"/>
      <c r="K624" s="1703"/>
      <c r="L624" s="1703"/>
      <c r="M624" s="1443" t="s">
        <v>2104</v>
      </c>
      <c r="N624" s="1443"/>
      <c r="O624" s="1443"/>
      <c r="P624" s="1443"/>
      <c r="Q624" s="1443" t="s">
        <v>1853</v>
      </c>
      <c r="R624" s="1443"/>
      <c r="S624" s="1443"/>
      <c r="T624" s="1443" t="s">
        <v>1851</v>
      </c>
      <c r="U624" s="1443"/>
      <c r="V624" s="1443"/>
      <c r="W624" s="1704" t="s">
        <v>453</v>
      </c>
      <c r="X624" s="1704"/>
      <c r="Y624" s="1704"/>
      <c r="Z624" s="1432" t="s">
        <v>2133</v>
      </c>
      <c r="AA624" s="1432"/>
      <c r="AB624" s="1433"/>
      <c r="AC624" s="1684" t="s">
        <v>1676</v>
      </c>
      <c r="AD624" s="1685"/>
      <c r="AE624" s="1686"/>
      <c r="AF624" s="1674" t="s">
        <v>1931</v>
      </c>
      <c r="AG624" s="1432"/>
      <c r="AH624" s="1432"/>
      <c r="AI624" s="1432"/>
      <c r="AJ624" s="1433"/>
      <c r="AK624" s="1736" t="s">
        <v>1932</v>
      </c>
      <c r="AL624" s="1737"/>
      <c r="AM624" s="1737"/>
      <c r="AN624" s="1738"/>
      <c r="AO624" s="1443" t="s">
        <v>454</v>
      </c>
      <c r="AP624" s="1443"/>
      <c r="AQ624" s="1443"/>
      <c r="AR624" s="1443"/>
      <c r="AS624" s="1443"/>
      <c r="AU624" s="3"/>
      <c r="AZ624" s="3"/>
      <c r="BA624" s="3"/>
      <c r="BB624" s="3"/>
      <c r="BC624" s="3"/>
    </row>
    <row r="625" spans="2:157" ht="12.95" customHeight="1">
      <c r="B625" s="1703"/>
      <c r="C625" s="1703"/>
      <c r="D625" s="1703"/>
      <c r="E625" s="1703"/>
      <c r="F625" s="1703"/>
      <c r="G625" s="1703"/>
      <c r="H625" s="1703"/>
      <c r="I625" s="1703"/>
      <c r="J625" s="1703"/>
      <c r="K625" s="1703"/>
      <c r="L625" s="1703"/>
      <c r="M625" s="1443"/>
      <c r="N625" s="1443"/>
      <c r="O625" s="1443"/>
      <c r="P625" s="1443"/>
      <c r="Q625" s="1443"/>
      <c r="R625" s="1443"/>
      <c r="S625" s="1443"/>
      <c r="T625" s="1443"/>
      <c r="U625" s="1443"/>
      <c r="V625" s="1443"/>
      <c r="W625" s="1704"/>
      <c r="X625" s="1704"/>
      <c r="Y625" s="1704"/>
      <c r="Z625" s="1434"/>
      <c r="AA625" s="1434"/>
      <c r="AB625" s="1435"/>
      <c r="AC625" s="1687"/>
      <c r="AD625" s="1688"/>
      <c r="AE625" s="1689"/>
      <c r="AF625" s="1675"/>
      <c r="AG625" s="1434"/>
      <c r="AH625" s="1434"/>
      <c r="AI625" s="1434"/>
      <c r="AJ625" s="1435"/>
      <c r="AK625" s="1739"/>
      <c r="AL625" s="1740"/>
      <c r="AM625" s="1740"/>
      <c r="AN625" s="1741"/>
      <c r="AO625" s="1443"/>
      <c r="AP625" s="1443"/>
      <c r="AQ625" s="1443"/>
      <c r="AR625" s="1443"/>
      <c r="AS625" s="1443"/>
      <c r="AU625" s="3"/>
      <c r="AZ625" s="3"/>
      <c r="BA625" s="3"/>
      <c r="BB625" s="3"/>
      <c r="BC625" s="3"/>
      <c r="BD625" s="3"/>
    </row>
    <row r="626" spans="2:157" ht="12.95" customHeight="1">
      <c r="B626" s="1703"/>
      <c r="C626" s="1703"/>
      <c r="D626" s="1703"/>
      <c r="E626" s="1703"/>
      <c r="F626" s="1703"/>
      <c r="G626" s="1703"/>
      <c r="H626" s="1703"/>
      <c r="I626" s="1703"/>
      <c r="J626" s="1703"/>
      <c r="K626" s="1703"/>
      <c r="L626" s="1703"/>
      <c r="M626" s="1443"/>
      <c r="N626" s="1443"/>
      <c r="O626" s="1443"/>
      <c r="P626" s="1443"/>
      <c r="Q626" s="1443"/>
      <c r="R626" s="1443"/>
      <c r="S626" s="1443"/>
      <c r="T626" s="1443"/>
      <c r="U626" s="1443"/>
      <c r="V626" s="1443"/>
      <c r="W626" s="1704"/>
      <c r="X626" s="1704"/>
      <c r="Y626" s="1704"/>
      <c r="Z626" s="1436"/>
      <c r="AA626" s="1436"/>
      <c r="AB626" s="1437"/>
      <c r="AC626" s="1690"/>
      <c r="AD626" s="1691"/>
      <c r="AE626" s="1692"/>
      <c r="AF626" s="1676"/>
      <c r="AG626" s="1436"/>
      <c r="AH626" s="1436"/>
      <c r="AI626" s="1436"/>
      <c r="AJ626" s="1437"/>
      <c r="AK626" s="1742"/>
      <c r="AL626" s="1743"/>
      <c r="AM626" s="1743"/>
      <c r="AN626" s="1744"/>
      <c r="AO626" s="1443"/>
      <c r="AP626" s="1443"/>
      <c r="AQ626" s="1443"/>
      <c r="AR626" s="1443"/>
      <c r="AS626" s="1443"/>
      <c r="AT626" s="3"/>
      <c r="AU626" s="3"/>
      <c r="AZ626" s="3"/>
      <c r="BA626" s="3"/>
      <c r="BB626" s="3"/>
      <c r="BC626" s="3"/>
      <c r="BD626" s="3"/>
    </row>
    <row r="627" spans="2:157" ht="12.95" customHeight="1">
      <c r="B627" s="51" t="s">
        <v>112</v>
      </c>
      <c r="C627" s="1694" t="str">
        <f>C554</f>
        <v>California Bank &amp; Trust</v>
      </c>
      <c r="D627" s="1694"/>
      <c r="E627" s="1694"/>
      <c r="F627" s="1694"/>
      <c r="G627" s="1694"/>
      <c r="H627" s="1694"/>
      <c r="I627" s="1694"/>
      <c r="J627" s="1694"/>
      <c r="K627" s="1694"/>
      <c r="L627" s="1694"/>
      <c r="M627" s="1619" t="s">
        <v>2120</v>
      </c>
      <c r="N627" s="1619"/>
      <c r="O627" s="1619"/>
      <c r="P627" s="1619"/>
      <c r="Q627" s="1427">
        <v>30</v>
      </c>
      <c r="R627" s="1427"/>
      <c r="S627" s="1428"/>
      <c r="T627" s="1426">
        <v>360</v>
      </c>
      <c r="U627" s="1427"/>
      <c r="V627" s="1428"/>
      <c r="W627" s="1439">
        <v>7.0000000000000007E-2</v>
      </c>
      <c r="X627" s="1440"/>
      <c r="Y627" s="1441"/>
      <c r="Z627" s="1479" t="s">
        <v>2132</v>
      </c>
      <c r="AA627" s="1480"/>
      <c r="AB627" s="1481"/>
      <c r="AC627" s="1447">
        <v>1</v>
      </c>
      <c r="AD627" s="1448"/>
      <c r="AE627" s="1449"/>
      <c r="AF627" s="1476">
        <v>618731</v>
      </c>
      <c r="AG627" s="1477"/>
      <c r="AH627" s="1477"/>
      <c r="AI627" s="1477"/>
      <c r="AJ627" s="1478"/>
      <c r="AK627" s="1429"/>
      <c r="AL627" s="1430"/>
      <c r="AM627" s="1430"/>
      <c r="AN627" s="1431"/>
      <c r="AO627" s="1482">
        <v>7750000</v>
      </c>
      <c r="AP627" s="1482"/>
      <c r="AQ627" s="1482"/>
      <c r="AR627" s="1482"/>
      <c r="AS627" s="1482"/>
      <c r="AT627" s="3"/>
      <c r="AU627" s="3"/>
      <c r="AZ627" s="3"/>
      <c r="BA627" s="3"/>
      <c r="BB627" s="3"/>
      <c r="BC627" s="3"/>
      <c r="BD627" s="3"/>
    </row>
    <row r="628" spans="2:157" ht="12.95" customHeight="1">
      <c r="B628" s="52" t="s">
        <v>113</v>
      </c>
      <c r="C628" s="1694" t="str">
        <f>C555</f>
        <v>California Bank &amp; Trust</v>
      </c>
      <c r="D628" s="1694"/>
      <c r="E628" s="1694"/>
      <c r="F628" s="1694"/>
      <c r="G628" s="1694"/>
      <c r="H628" s="1694"/>
      <c r="I628" s="1694"/>
      <c r="J628" s="1694"/>
      <c r="K628" s="1694"/>
      <c r="L628" s="1694"/>
      <c r="M628" s="1619" t="s">
        <v>2119</v>
      </c>
      <c r="N628" s="1619"/>
      <c r="O628" s="1619"/>
      <c r="P628" s="1619"/>
      <c r="Q628" s="1426">
        <v>30</v>
      </c>
      <c r="R628" s="1427"/>
      <c r="S628" s="1428"/>
      <c r="T628" s="1426">
        <v>360</v>
      </c>
      <c r="U628" s="1427"/>
      <c r="V628" s="1428"/>
      <c r="W628" s="1439">
        <v>7.0000000000000007E-2</v>
      </c>
      <c r="X628" s="1440"/>
      <c r="Y628" s="1441"/>
      <c r="Z628" s="1479" t="s">
        <v>2132</v>
      </c>
      <c r="AA628" s="1480"/>
      <c r="AB628" s="1481"/>
      <c r="AC628" s="1447">
        <v>1</v>
      </c>
      <c r="AD628" s="1448"/>
      <c r="AE628" s="1449"/>
      <c r="AF628" s="1476">
        <v>99795</v>
      </c>
      <c r="AG628" s="1477"/>
      <c r="AH628" s="1477"/>
      <c r="AI628" s="1477"/>
      <c r="AJ628" s="1478"/>
      <c r="AK628" s="1429"/>
      <c r="AL628" s="1430"/>
      <c r="AM628" s="1430"/>
      <c r="AN628" s="1431"/>
      <c r="AO628" s="1467">
        <v>1250000</v>
      </c>
      <c r="AP628" s="1468"/>
      <c r="AQ628" s="1468"/>
      <c r="AR628" s="1468"/>
      <c r="AS628" s="1469"/>
      <c r="AT628" s="1148" t="str">
        <f>IF(AND(NOT(C627=""),C628="",NOT(C629="")),"!","")</f>
        <v/>
      </c>
      <c r="AU628" s="3"/>
      <c r="AZ628" s="3"/>
      <c r="BA628" s="3"/>
      <c r="BB628" s="3"/>
      <c r="BC628" s="3"/>
      <c r="BD628" s="3"/>
    </row>
    <row r="629" spans="2:157" ht="12.95" customHeight="1">
      <c r="B629" s="52" t="s">
        <v>119</v>
      </c>
      <c r="C629" s="1694" t="str">
        <f>C556</f>
        <v>USDA RD 515 Assumption</v>
      </c>
      <c r="D629" s="1694"/>
      <c r="E629" s="1694"/>
      <c r="F629" s="1694"/>
      <c r="G629" s="1694"/>
      <c r="H629" s="1694"/>
      <c r="I629" s="1694"/>
      <c r="J629" s="1694"/>
      <c r="K629" s="1694"/>
      <c r="L629" s="1694"/>
      <c r="M629" s="1619" t="s">
        <v>2114</v>
      </c>
      <c r="N629" s="1619"/>
      <c r="O629" s="1619"/>
      <c r="P629" s="1619"/>
      <c r="Q629" s="1426">
        <v>30</v>
      </c>
      <c r="R629" s="1427"/>
      <c r="S629" s="1428"/>
      <c r="T629" s="1426">
        <v>600</v>
      </c>
      <c r="U629" s="1427"/>
      <c r="V629" s="1428"/>
      <c r="W629" s="1439">
        <v>0.01</v>
      </c>
      <c r="X629" s="1440"/>
      <c r="Y629" s="1441"/>
      <c r="Z629" s="1479" t="s">
        <v>2132</v>
      </c>
      <c r="AA629" s="1480"/>
      <c r="AB629" s="1481"/>
      <c r="AC629" s="1447">
        <v>2</v>
      </c>
      <c r="AD629" s="1448"/>
      <c r="AE629" s="1449"/>
      <c r="AF629" s="1476">
        <v>59543</v>
      </c>
      <c r="AG629" s="1477"/>
      <c r="AH629" s="1477"/>
      <c r="AI629" s="1477"/>
      <c r="AJ629" s="1478"/>
      <c r="AK629" s="1429"/>
      <c r="AL629" s="1430"/>
      <c r="AM629" s="1430"/>
      <c r="AN629" s="1431"/>
      <c r="AO629" s="1467">
        <f>AM556</f>
        <v>2342068</v>
      </c>
      <c r="AP629" s="1468"/>
      <c r="AQ629" s="1468"/>
      <c r="AR629" s="1468"/>
      <c r="AS629" s="1469"/>
      <c r="AT629" s="1148" t="str">
        <f t="shared" ref="AT629:AT638" si="1">IF(AND(NOT(C628=""),C629="",NOT(C630="")),"!","")</f>
        <v/>
      </c>
      <c r="AU629" s="3"/>
      <c r="AZ629" s="3"/>
      <c r="BA629" s="3"/>
      <c r="BB629" s="3"/>
      <c r="BC629" s="3"/>
      <c r="BD629" s="3"/>
    </row>
    <row r="630" spans="2:157" ht="12.95" customHeight="1">
      <c r="B630" s="52" t="s">
        <v>581</v>
      </c>
      <c r="C630" s="1348" t="str">
        <f>C558</f>
        <v>Existing Reserves</v>
      </c>
      <c r="D630" s="1348"/>
      <c r="E630" s="1348"/>
      <c r="F630" s="1348"/>
      <c r="G630" s="1348"/>
      <c r="H630" s="1348"/>
      <c r="I630" s="1348"/>
      <c r="J630" s="1348"/>
      <c r="K630" s="1348"/>
      <c r="L630" s="1348"/>
      <c r="M630" s="1619" t="s">
        <v>2124</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f>AM558</f>
        <v>565232</v>
      </c>
      <c r="AP630" s="1468"/>
      <c r="AQ630" s="1468"/>
      <c r="AR630" s="1468"/>
      <c r="AS630" s="1469"/>
      <c r="AT630" s="1148" t="str">
        <f t="shared" si="1"/>
        <v/>
      </c>
      <c r="AU630" s="3"/>
      <c r="AZ630" s="3"/>
      <c r="BA630" s="3"/>
      <c r="BB630" s="3"/>
      <c r="BC630" s="3"/>
      <c r="BD630" s="3"/>
    </row>
    <row r="631" spans="2:157" ht="12.95" customHeight="1">
      <c r="B631" s="52" t="s">
        <v>763</v>
      </c>
      <c r="C631" s="1348" t="str">
        <f>C559</f>
        <v>NOI</v>
      </c>
      <c r="D631" s="1348"/>
      <c r="E631" s="1348"/>
      <c r="F631" s="1348"/>
      <c r="G631" s="1348"/>
      <c r="H631" s="1348"/>
      <c r="I631" s="1348"/>
      <c r="J631" s="1348"/>
      <c r="K631" s="1348"/>
      <c r="L631" s="1348"/>
      <c r="M631" s="1619" t="s">
        <v>2122</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v>84515</v>
      </c>
      <c r="AP631" s="1468"/>
      <c r="AQ631" s="1468"/>
      <c r="AR631" s="1468"/>
      <c r="AS631" s="1469"/>
      <c r="AT631" s="1148" t="str">
        <f t="shared" si="1"/>
        <v/>
      </c>
      <c r="AU631" s="3"/>
      <c r="AZ631" s="3"/>
      <c r="BA631" s="3"/>
      <c r="BB631" s="3"/>
      <c r="BC631" s="3"/>
      <c r="BD631" s="3"/>
    </row>
    <row r="632" spans="2:157" ht="12.95" customHeight="1">
      <c r="B632" s="52" t="s">
        <v>584</v>
      </c>
      <c r="C632" s="1348" t="str">
        <f>C560</f>
        <v>Deferred Developer Fee</v>
      </c>
      <c r="D632" s="1348"/>
      <c r="E632" s="1348"/>
      <c r="F632" s="1348"/>
      <c r="G632" s="1348"/>
      <c r="H632" s="1348"/>
      <c r="I632" s="1348"/>
      <c r="J632" s="1348"/>
      <c r="K632" s="1348"/>
      <c r="L632" s="1348"/>
      <c r="M632" s="1619" t="s">
        <v>2107</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v>71957</v>
      </c>
      <c r="AP632" s="1468"/>
      <c r="AQ632" s="1468"/>
      <c r="AR632" s="1468"/>
      <c r="AS632" s="1469"/>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86.142857142857139</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646</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215.07936507936506</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92.857142857142847</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12063772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111.26984126984127</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4866817</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16930589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104.76190476190476</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386.28571428571428</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463</v>
      </c>
      <c r="G643" s="1359" t="str">
        <f>C627</f>
        <v>California Bank &amp; Trust</v>
      </c>
      <c r="H643" s="1359"/>
      <c r="I643" s="1359"/>
      <c r="J643" s="1359"/>
      <c r="K643" s="1359"/>
      <c r="L643" s="1359"/>
      <c r="M643" s="1359"/>
      <c r="N643" s="1359"/>
      <c r="O643" s="1359"/>
      <c r="P643" s="1359"/>
      <c r="Q643" s="1359"/>
      <c r="R643" s="1359"/>
      <c r="S643" s="8"/>
      <c r="T643" s="55" t="s">
        <v>113</v>
      </c>
      <c r="U643" t="s">
        <v>463</v>
      </c>
      <c r="Z643" s="1359" t="str">
        <f>C628</f>
        <v>California Bank &amp; Trust</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2738</v>
      </c>
      <c r="H644" s="1372"/>
      <c r="I644" s="1372"/>
      <c r="J644" s="1372"/>
      <c r="K644" s="1372"/>
      <c r="L644" s="1372"/>
      <c r="M644" s="1372"/>
      <c r="N644" s="1372"/>
      <c r="O644" s="1372"/>
      <c r="P644" s="1372"/>
      <c r="Q644" s="1372"/>
      <c r="R644" s="1372"/>
      <c r="S644" s="8"/>
      <c r="T644" s="22"/>
      <c r="U644" t="s">
        <v>85</v>
      </c>
      <c r="Z644" s="1372" t="s">
        <v>2738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580</v>
      </c>
      <c r="G645" s="1372" t="s">
        <v>494</v>
      </c>
      <c r="H645" s="1372"/>
      <c r="I645" s="1372"/>
      <c r="J645" s="1372"/>
      <c r="K645" s="1372"/>
      <c r="L645" s="1372"/>
      <c r="M645" s="1372"/>
      <c r="N645" s="1372"/>
      <c r="O645" s="1372"/>
      <c r="P645" s="1372"/>
      <c r="Q645" s="1372"/>
      <c r="R645" s="1372"/>
      <c r="T645" s="22"/>
      <c r="U645" t="s">
        <v>580</v>
      </c>
      <c r="Z645" s="1349" t="s">
        <v>494</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f t="shared" si="3"/>
        <v>21.507936507936506</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2739</v>
      </c>
      <c r="H646" s="1372"/>
      <c r="I646" s="1372"/>
      <c r="J646" s="1372"/>
      <c r="K646" s="1372"/>
      <c r="L646" s="1372"/>
      <c r="M646" s="1372"/>
      <c r="N646" s="1372"/>
      <c r="O646" s="1372"/>
      <c r="P646" s="1372"/>
      <c r="Q646" s="1372"/>
      <c r="R646" s="1372"/>
      <c r="S646" s="8"/>
      <c r="T646" s="22"/>
      <c r="U646" t="s">
        <v>17</v>
      </c>
      <c r="Z646" s="1349" t="s">
        <v>2739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2740</v>
      </c>
      <c r="H647" s="1347"/>
      <c r="I647" s="1347"/>
      <c r="J647" s="1347"/>
      <c r="K647" s="1347"/>
      <c r="L647" s="1347"/>
      <c r="O647" s="33" t="s">
        <v>206</v>
      </c>
      <c r="P647" s="1438"/>
      <c r="Q647" s="1438"/>
      <c r="R647" s="1438"/>
      <c r="S647" s="10"/>
      <c r="T647" s="22"/>
      <c r="U647" t="s">
        <v>316</v>
      </c>
      <c r="Z647" s="1346" t="s">
        <v>2740</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2742</v>
      </c>
      <c r="I648" s="1372"/>
      <c r="J648" s="1372"/>
      <c r="K648" s="1372"/>
      <c r="L648" s="1372"/>
      <c r="M648" s="1372"/>
      <c r="N648" s="1372"/>
      <c r="O648" s="1372"/>
      <c r="P648" s="1372"/>
      <c r="Q648" s="1372"/>
      <c r="R648" s="1372"/>
      <c r="S648" s="8"/>
      <c r="T648" s="22"/>
      <c r="U648" t="s">
        <v>18</v>
      </c>
      <c r="AA648" s="1372" t="s">
        <v>2742</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463</v>
      </c>
      <c r="G651" s="1359" t="str">
        <f>C629</f>
        <v>USDA RD 515 Assumption</v>
      </c>
      <c r="H651" s="1359"/>
      <c r="I651" s="1359"/>
      <c r="J651" s="1359"/>
      <c r="K651" s="1359"/>
      <c r="L651" s="1359"/>
      <c r="M651" s="1359"/>
      <c r="N651" s="1359"/>
      <c r="O651" s="1359"/>
      <c r="P651" s="1359"/>
      <c r="Q651" s="1359"/>
      <c r="R651" s="1359"/>
      <c r="T651" s="55" t="s">
        <v>581</v>
      </c>
      <c r="U651" t="s">
        <v>463</v>
      </c>
      <c r="Z651" s="1359" t="str">
        <f>C630</f>
        <v>Existing Reserves</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2727</v>
      </c>
      <c r="H652" s="1372"/>
      <c r="I652" s="1372"/>
      <c r="J652" s="1372"/>
      <c r="K652" s="1372"/>
      <c r="L652" s="1372"/>
      <c r="M652" s="1372"/>
      <c r="N652" s="1372"/>
      <c r="O652" s="1372"/>
      <c r="P652" s="1372"/>
      <c r="Q652" s="1372"/>
      <c r="R652" s="1372"/>
      <c r="T652" s="22"/>
      <c r="U652" t="s">
        <v>85</v>
      </c>
      <c r="Z652" s="1372" t="s">
        <v>2622</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580</v>
      </c>
      <c r="G653" s="1349" t="s">
        <v>2728</v>
      </c>
      <c r="H653" s="1349"/>
      <c r="I653" s="1349"/>
      <c r="J653" s="1349"/>
      <c r="K653" s="1349"/>
      <c r="L653" s="1349"/>
      <c r="M653" s="1349"/>
      <c r="N653" s="1349"/>
      <c r="O653" s="1349"/>
      <c r="P653" s="1349"/>
      <c r="Q653" s="1349"/>
      <c r="R653" s="1349"/>
      <c r="T653" s="22"/>
      <c r="U653" t="s">
        <v>580</v>
      </c>
      <c r="Z653" s="1349" t="s">
        <v>2623</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2729</v>
      </c>
      <c r="H654" s="1349"/>
      <c r="I654" s="1349"/>
      <c r="J654" s="1349"/>
      <c r="K654" s="1349"/>
      <c r="L654" s="1349"/>
      <c r="M654" s="1349"/>
      <c r="N654" s="1349"/>
      <c r="O654" s="1349"/>
      <c r="P654" s="1349"/>
      <c r="Q654" s="1349"/>
      <c r="R654" s="1349"/>
      <c r="T654" s="22"/>
      <c r="U654" t="s">
        <v>17</v>
      </c>
      <c r="Z654" s="1349" t="s">
        <v>2714</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7" t="s">
        <v>2730</v>
      </c>
      <c r="H655" s="1347"/>
      <c r="I655" s="1347"/>
      <c r="J655" s="1347"/>
      <c r="K655" s="1347"/>
      <c r="L655" s="1347"/>
      <c r="O655" s="33" t="s">
        <v>206</v>
      </c>
      <c r="P655" s="1438"/>
      <c r="Q655" s="1438"/>
      <c r="R655" s="1438"/>
      <c r="T655" s="22"/>
      <c r="U655" t="s">
        <v>316</v>
      </c>
      <c r="Z655" s="1346" t="s">
        <v>2734</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2743</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763</v>
      </c>
      <c r="B659" t="s">
        <v>463</v>
      </c>
      <c r="G659" s="1359" t="str">
        <f>C631</f>
        <v>NOI</v>
      </c>
      <c r="H659" s="1359"/>
      <c r="I659" s="1359"/>
      <c r="J659" s="1359"/>
      <c r="K659" s="1359"/>
      <c r="L659" s="1359"/>
      <c r="M659" s="1359"/>
      <c r="N659" s="1359"/>
      <c r="O659" s="1359"/>
      <c r="P659" s="1359"/>
      <c r="Q659" s="1359"/>
      <c r="R659" s="1359"/>
      <c r="T659" s="55" t="s">
        <v>584</v>
      </c>
      <c r="U659" t="s">
        <v>463</v>
      </c>
      <c r="Z659" s="1359" t="str">
        <f>C632</f>
        <v>Deferred Developer Fee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
        <v>2622</v>
      </c>
      <c r="H660" s="1372"/>
      <c r="I660" s="1372"/>
      <c r="J660" s="1372"/>
      <c r="K660" s="1372"/>
      <c r="L660" s="1372"/>
      <c r="M660" s="1372"/>
      <c r="N660" s="1372"/>
      <c r="O660" s="1372"/>
      <c r="P660" s="1372"/>
      <c r="Q660" s="1372"/>
      <c r="R660" s="1372"/>
      <c r="T660" s="22"/>
      <c r="U660" t="s">
        <v>85</v>
      </c>
      <c r="Z660" s="1372" t="s">
        <v>2632</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580</v>
      </c>
      <c r="G661" s="1372" t="s">
        <v>2623</v>
      </c>
      <c r="H661" s="1372"/>
      <c r="I661" s="1372"/>
      <c r="J661" s="1372"/>
      <c r="K661" s="1372"/>
      <c r="L661" s="1372"/>
      <c r="M661" s="1372"/>
      <c r="N661" s="1372"/>
      <c r="O661" s="1372"/>
      <c r="P661" s="1372"/>
      <c r="Q661" s="1372"/>
      <c r="R661" s="1372"/>
      <c r="T661" s="22"/>
      <c r="U661" t="s">
        <v>580</v>
      </c>
      <c r="Z661" s="1349" t="s">
        <v>2633</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
        <v>2714</v>
      </c>
      <c r="H662" s="1372"/>
      <c r="I662" s="1372"/>
      <c r="J662" s="1372"/>
      <c r="K662" s="1372"/>
      <c r="L662" s="1372"/>
      <c r="M662" s="1372"/>
      <c r="N662" s="1372"/>
      <c r="O662" s="1372"/>
      <c r="P662" s="1372"/>
      <c r="Q662" s="1372"/>
      <c r="R662" s="1372"/>
      <c r="T662" s="22"/>
      <c r="U662" t="s">
        <v>17</v>
      </c>
      <c r="Z662" s="1349" t="s">
        <v>2736</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
        <v>2734</v>
      </c>
      <c r="H663" s="1347"/>
      <c r="I663" s="1347"/>
      <c r="J663" s="1347"/>
      <c r="K663" s="1347"/>
      <c r="L663" s="1347"/>
      <c r="O663" s="33" t="s">
        <v>206</v>
      </c>
      <c r="P663" s="1438"/>
      <c r="Q663" s="1438"/>
      <c r="R663" s="1438"/>
      <c r="T663" s="22"/>
      <c r="U663" t="s">
        <v>316</v>
      </c>
      <c r="Z663" s="1346" t="s">
        <v>2737</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
        <v>2122</v>
      </c>
      <c r="I664" s="1372"/>
      <c r="J664" s="1372"/>
      <c r="K664" s="1372"/>
      <c r="L664" s="1372"/>
      <c r="M664" s="1372"/>
      <c r="N664" s="1372"/>
      <c r="O664" s="1372"/>
      <c r="P664" s="1372"/>
      <c r="Q664" s="1372"/>
      <c r="R664" s="1372"/>
      <c r="T664" s="22"/>
      <c r="U664" t="s">
        <v>18</v>
      </c>
      <c r="AA664" s="1372" t="s">
        <v>2322</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1017.9047619047618</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545</v>
      </c>
      <c r="AF693" s="1332"/>
      <c r="AZ693" s="3"/>
    </row>
    <row r="694" spans="1:67" ht="12.95" customHeight="1">
      <c r="B694" s="135"/>
      <c r="C694" s="135"/>
      <c r="D694" s="136" t="s">
        <v>438</v>
      </c>
      <c r="E694" s="135"/>
      <c r="F694" s="135"/>
      <c r="G694" s="135"/>
      <c r="H694" s="135"/>
      <c r="AE694" s="1332" t="s">
        <v>669</v>
      </c>
      <c r="AF694" s="1332"/>
      <c r="AZ694" s="3"/>
    </row>
    <row r="695" spans="1:67" ht="12.95" customHeight="1">
      <c r="B695" s="135"/>
      <c r="C695" s="135"/>
      <c r="D695" s="136" t="s">
        <v>920</v>
      </c>
      <c r="E695" s="135"/>
      <c r="F695" s="135"/>
      <c r="G695" s="135"/>
      <c r="H695" s="135"/>
      <c r="AE695" s="1693">
        <v>45797</v>
      </c>
      <c r="AF695" s="1693"/>
      <c r="AG695" s="1693"/>
      <c r="AH695" s="1693"/>
      <c r="AI695" s="1693"/>
    </row>
    <row r="696" spans="1:67" ht="12.95" customHeight="1">
      <c r="B696" s="135"/>
      <c r="C696" s="135"/>
      <c r="D696" s="317" t="s">
        <v>983</v>
      </c>
      <c r="E696" s="135"/>
      <c r="F696" s="135"/>
      <c r="G696" s="135"/>
      <c r="H696" s="135"/>
      <c r="AE696" s="1705">
        <v>45874</v>
      </c>
      <c r="AF696" s="1705"/>
      <c r="AG696" s="1705"/>
      <c r="AH696" s="1705"/>
      <c r="AI696" s="1705"/>
    </row>
    <row r="697" spans="1:67" ht="12.95" customHeight="1">
      <c r="B697" s="135"/>
      <c r="C697" s="135"/>
    </row>
    <row r="698" spans="1:67" ht="12.95" customHeight="1">
      <c r="B698" s="135"/>
      <c r="C698" s="135"/>
      <c r="D698" s="136" t="s">
        <v>816</v>
      </c>
      <c r="E698" s="135"/>
      <c r="F698" s="135"/>
      <c r="G698" s="135"/>
      <c r="H698" s="135"/>
      <c r="AE698" s="1693">
        <v>46038</v>
      </c>
      <c r="AF698" s="1693"/>
      <c r="AG698" s="1693"/>
      <c r="AH698" s="1693"/>
      <c r="AI698" s="1693"/>
    </row>
    <row r="699" spans="1:67" ht="12.95" customHeight="1">
      <c r="B699" s="135"/>
      <c r="C699" s="135"/>
      <c r="D699" s="136" t="s">
        <v>436</v>
      </c>
      <c r="E699" s="135"/>
      <c r="F699" s="135"/>
      <c r="G699" s="135"/>
      <c r="H699" s="135"/>
      <c r="AE699" s="1663">
        <v>0.51</v>
      </c>
      <c r="AF699" s="1663"/>
      <c r="AG699" s="1663"/>
      <c r="AH699" s="1663"/>
      <c r="AI699" s="1663"/>
    </row>
    <row r="700" spans="1:67" ht="12.95"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669</v>
      </c>
      <c r="AF702" s="1332"/>
      <c r="AZ702" s="4" t="s">
        <v>324</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2" t="s">
        <v>1679</v>
      </c>
      <c r="L714" s="1723"/>
      <c r="M714" s="1723"/>
      <c r="N714" s="1724"/>
      <c r="O714" s="1363" t="s">
        <v>447</v>
      </c>
      <c r="P714" s="1364"/>
      <c r="Q714" s="1364"/>
      <c r="R714" s="1364"/>
      <c r="S714" s="1365"/>
      <c r="T714" s="1661" t="s">
        <v>1950</v>
      </c>
      <c r="U714" s="1364"/>
      <c r="V714" s="1364"/>
      <c r="W714" s="1365"/>
      <c r="X714" s="1661" t="s">
        <v>1952</v>
      </c>
      <c r="Y714" s="1364"/>
      <c r="Z714" s="1364"/>
      <c r="AA714" s="1364"/>
      <c r="AB714" s="1365"/>
      <c r="AC714" s="1661" t="s">
        <v>1951</v>
      </c>
      <c r="AD714" s="1364"/>
      <c r="AE714" s="1364"/>
      <c r="AF714" s="1364"/>
      <c r="AG714" s="1365"/>
      <c r="AH714" s="1661" t="s">
        <v>1953</v>
      </c>
      <c r="AI714" s="1364"/>
      <c r="AJ714" s="1365"/>
      <c r="AK714" s="1661"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5"/>
      <c r="L715" s="1726"/>
      <c r="M715" s="1726"/>
      <c r="N715" s="1727"/>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5"/>
      <c r="L716" s="1726"/>
      <c r="M716" s="1726"/>
      <c r="N716" s="1727"/>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5"/>
      <c r="L717" s="1726"/>
      <c r="M717" s="1726"/>
      <c r="N717" s="1727"/>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7" t="s">
        <v>633</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9</v>
      </c>
      <c r="H718" s="1351"/>
      <c r="I718" s="1351"/>
      <c r="J718" s="1352"/>
      <c r="K718" s="1343">
        <v>642</v>
      </c>
      <c r="L718" s="1344"/>
      <c r="M718" s="1344"/>
      <c r="N718" s="1345"/>
      <c r="O718" s="1340">
        <f>751-T718</f>
        <v>603</v>
      </c>
      <c r="P718" s="1341"/>
      <c r="Q718" s="1341"/>
      <c r="R718" s="1341"/>
      <c r="S718" s="1342"/>
      <c r="T718" s="1340">
        <v>148</v>
      </c>
      <c r="U718" s="1341"/>
      <c r="V718" s="1341"/>
      <c r="W718" s="1342"/>
      <c r="X718" s="1353">
        <f t="shared" ref="X718:X741" si="8">O718+T718</f>
        <v>751</v>
      </c>
      <c r="Y718" s="1354"/>
      <c r="Z718" s="1354"/>
      <c r="AA718" s="1354"/>
      <c r="AB718" s="1355"/>
      <c r="AC718" s="1360">
        <v>0.3</v>
      </c>
      <c r="AD718" s="1361"/>
      <c r="AE718" s="1361"/>
      <c r="AF718" s="1361"/>
      <c r="AG718" s="1362"/>
      <c r="AH718" s="1356">
        <f>IF($AC718&gt;0,($X718/$AZ718), "")</f>
        <v>0.29968076616121309</v>
      </c>
      <c r="AI718" s="1357"/>
      <c r="AJ718" s="1358"/>
      <c r="AK718" s="1337" t="s">
        <v>591</v>
      </c>
      <c r="AL718" s="1338"/>
      <c r="AM718" s="1338"/>
      <c r="AN718" s="1338"/>
      <c r="AO718" s="1339"/>
      <c r="AP718" s="3"/>
      <c r="AQ718" s="3"/>
      <c r="AR718" s="3"/>
      <c r="AS718" s="3"/>
      <c r="AZ718" s="118">
        <f t="shared" ref="AZ718:AZ752" si="9">IF($G718=0,"N/A",VLOOKUP($T$189,TC_Rent,(MATCH($B718,bedrooms,FALSE)),FALSE))</f>
        <v>2506</v>
      </c>
      <c r="BA718" s="3"/>
      <c r="BB718" s="3"/>
      <c r="BC718" s="3"/>
      <c r="BD718" s="3"/>
      <c r="BE718" s="204"/>
      <c r="BF718" s="293">
        <f t="shared" ref="BF718:BF752" si="10">G718</f>
        <v>9</v>
      </c>
      <c r="BG718" s="297">
        <f t="shared" ref="BG718:BG752" si="11">IF($BF$753=0,0,BF718/$BF$753)</f>
        <v>0.14285714285714285</v>
      </c>
      <c r="BH718" s="298">
        <f t="shared" ref="BH718:BH752" si="12">IF(BG718=0,"",BG718*AC718)</f>
        <v>4.2857142857142851E-2</v>
      </c>
      <c r="BI718" s="3"/>
      <c r="BJ718" s="3"/>
      <c r="BK718" s="3"/>
      <c r="BL718" s="3"/>
      <c r="BM718" s="3"/>
      <c r="BN718" s="3"/>
      <c r="BS718" s="293">
        <f t="shared" ref="BS718:BS752" si="13">G718</f>
        <v>9</v>
      </c>
      <c r="BT718" s="297">
        <f t="shared" ref="BT718:BT752" si="14">IF($BS$753=0,0,BS718/$BS$753)</f>
        <v>0.14285714285714285</v>
      </c>
      <c r="BU718" s="298">
        <f t="shared" ref="BU718:BU752" si="15">IF(BT718=0,"",BT718*AH718)</f>
        <v>4.2811538023030442E-2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9</v>
      </c>
      <c r="CN718" s="1471"/>
      <c r="CO718" s="3"/>
      <c r="CP718" s="1459">
        <f t="shared" ref="CP718:CP752" si="18">IF(B718="SRO/Studio",G718,0)</f>
        <v>0</v>
      </c>
      <c r="CQ718" s="1460"/>
      <c r="CR718" s="1460"/>
      <c r="CS718" s="1460"/>
      <c r="CT718" s="1461"/>
      <c r="CU718" s="1444">
        <f t="shared" ref="CU718:CU752" si="19">IF(B718="1 Bedroom",G718,0)</f>
        <v>9</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9</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603</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10</v>
      </c>
      <c r="H719" s="1351"/>
      <c r="I719" s="1351"/>
      <c r="J719" s="1352"/>
      <c r="K719" s="1343">
        <v>642</v>
      </c>
      <c r="L719" s="1344"/>
      <c r="M719" s="1344"/>
      <c r="N719" s="1345"/>
      <c r="O719" s="1340">
        <f>1503-T719</f>
        <v>1355</v>
      </c>
      <c r="P719" s="1341"/>
      <c r="Q719" s="1341"/>
      <c r="R719" s="1341"/>
      <c r="S719" s="1342"/>
      <c r="T719" s="1340">
        <v>148</v>
      </c>
      <c r="U719" s="1341"/>
      <c r="V719" s="1341"/>
      <c r="W719" s="1342"/>
      <c r="X719" s="1353">
        <f t="shared" si="8"/>
        <v>1503</v>
      </c>
      <c r="Y719" s="1354"/>
      <c r="Z719" s="1354"/>
      <c r="AA719" s="1354"/>
      <c r="AB719" s="1355"/>
      <c r="AC719" s="1360">
        <v>0.6</v>
      </c>
      <c r="AD719" s="1361"/>
      <c r="AE719" s="1361"/>
      <c r="AF719" s="1361"/>
      <c r="AG719" s="1362"/>
      <c r="AH719" s="1356">
        <f t="shared" ref="AH719:AH752" si="36">IF($AC719&gt;0,($X719/$AZ719), "")</f>
        <v>0.59976057462090981</v>
      </c>
      <c r="AI719" s="1357"/>
      <c r="AJ719" s="1358"/>
      <c r="AK719" s="1337" t="s">
        <v>591</v>
      </c>
      <c r="AL719" s="1338"/>
      <c r="AM719" s="1338"/>
      <c r="AN719" s="1338"/>
      <c r="AO719" s="1339"/>
      <c r="AP719" s="3"/>
      <c r="AQ719" s="3"/>
      <c r="AR719" s="3"/>
      <c r="AS719" s="3"/>
      <c r="AZ719" s="118">
        <f t="shared" si="9"/>
        <v>2506</v>
      </c>
      <c r="BA719" s="3"/>
      <c r="BB719" s="3"/>
      <c r="BC719" s="3"/>
      <c r="BD719" s="3"/>
      <c r="BE719" s="204"/>
      <c r="BF719" s="294">
        <f t="shared" si="10"/>
        <v>10</v>
      </c>
      <c r="BG719" s="297">
        <f t="shared" si="11"/>
        <v>0.15873015873015872</v>
      </c>
      <c r="BH719" s="298">
        <f t="shared" si="12"/>
        <v>9.5238095238095233E-2</v>
      </c>
      <c r="BI719" s="3"/>
      <c r="BJ719" s="3"/>
      <c r="BK719" s="3"/>
      <c r="BL719" s="3"/>
      <c r="BM719" s="3"/>
      <c r="BN719" s="3"/>
      <c r="BS719" s="294">
        <f t="shared" si="13"/>
        <v>10</v>
      </c>
      <c r="BT719" s="297">
        <f t="shared" si="14"/>
        <v>0.15873015873015872</v>
      </c>
      <c r="BU719" s="298">
        <f t="shared" si="15"/>
        <v>9.5200091209668214E-2</v>
      </c>
      <c r="CC719" s="3"/>
      <c r="CD719" s="3"/>
      <c r="CE719" s="3"/>
      <c r="CF719" s="3"/>
      <c r="CG719" s="1464">
        <f t="shared" ref="CG719:CG752" si="37">IF(AND(AC719&lt;=0.5,AC719&gt;=0.36),1,0)</f>
        <v>0</v>
      </c>
      <c r="CH719" s="1465"/>
      <c r="CI719" s="1470">
        <f t="shared" ref="CI719:CI752" si="38">IF(CG719=1,G719,0)</f>
        <v>0</v>
      </c>
      <c r="CJ719" s="1471"/>
      <c r="CK719" s="1464">
        <f t="shared" si="16"/>
        <v>0</v>
      </c>
      <c r="CL719" s="1465"/>
      <c r="CM719" s="1470">
        <f t="shared" si="17"/>
        <v>0</v>
      </c>
      <c r="CN719" s="1471"/>
      <c r="CO719" s="3"/>
      <c r="CP719" s="1459">
        <f t="shared" si="18"/>
        <v>0</v>
      </c>
      <c r="CQ719" s="1460"/>
      <c r="CR719" s="1460"/>
      <c r="CS719" s="1460"/>
      <c r="CT719" s="1461"/>
      <c r="CU719" s="1444">
        <f t="shared" si="19"/>
        <v>10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1355</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c r="C720" s="1338"/>
      <c r="D720" s="1338"/>
      <c r="E720" s="1338"/>
      <c r="F720" s="1339"/>
      <c r="G720" s="1350"/>
      <c r="H720" s="1351"/>
      <c r="I720" s="1351"/>
      <c r="J720" s="1352"/>
      <c r="K720" s="1343"/>
      <c r="L720" s="1344"/>
      <c r="M720" s="1344"/>
      <c r="N720" s="1345"/>
      <c r="O720" s="1340"/>
      <c r="P720" s="1341"/>
      <c r="Q720" s="1341"/>
      <c r="R720" s="1341"/>
      <c r="S720" s="1342"/>
      <c r="T720" s="1340"/>
      <c r="U720" s="1341"/>
      <c r="V720" s="1341"/>
      <c r="W720" s="1342"/>
      <c r="X720" s="1353">
        <f t="shared" si="8"/>
        <v>0</v>
      </c>
      <c r="Y720" s="1354"/>
      <c r="Z720" s="1354"/>
      <c r="AA720" s="1354"/>
      <c r="AB720" s="1355"/>
      <c r="AC720" s="1360"/>
      <c r="AD720" s="1361"/>
      <c r="AE720" s="1361"/>
      <c r="AF720" s="1361"/>
      <c r="AG720" s="1362"/>
      <c r="AH720" s="1356" t="str">
        <f t="shared" si="36"/>
        <v/>
      </c>
      <c r="AI720" s="1357"/>
      <c r="AJ720" s="1358"/>
      <c r="AK720" s="1337" t="s">
        <v>591</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325</v>
      </c>
      <c r="C721" s="1338"/>
      <c r="D721" s="1338"/>
      <c r="E721" s="1338"/>
      <c r="F721" s="1339"/>
      <c r="G721" s="1350">
        <v>9</v>
      </c>
      <c r="H721" s="1351"/>
      <c r="I721" s="1351"/>
      <c r="J721" s="1352"/>
      <c r="K721" s="1343">
        <v>621</v>
      </c>
      <c r="L721" s="1344"/>
      <c r="M721" s="1344"/>
      <c r="N721" s="1345"/>
      <c r="O721" s="1340">
        <f>751-T721</f>
        <v>650</v>
      </c>
      <c r="P721" s="1341"/>
      <c r="Q721" s="1341"/>
      <c r="R721" s="1341"/>
      <c r="S721" s="1342"/>
      <c r="T721" s="1340">
        <v>101</v>
      </c>
      <c r="U721" s="1341"/>
      <c r="V721" s="1341"/>
      <c r="W721" s="1342"/>
      <c r="X721" s="1353">
        <f t="shared" si="8"/>
        <v>751</v>
      </c>
      <c r="Y721" s="1354"/>
      <c r="Z721" s="1354"/>
      <c r="AA721" s="1354"/>
      <c r="AB721" s="1355"/>
      <c r="AC721" s="1360">
        <v>0.3</v>
      </c>
      <c r="AD721" s="1361"/>
      <c r="AE721" s="1361"/>
      <c r="AF721" s="1361"/>
      <c r="AG721" s="1362"/>
      <c r="AH721" s="1356">
        <f t="shared" si="36"/>
        <v>0.29968076616121309</v>
      </c>
      <c r="AI721" s="1357"/>
      <c r="AJ721" s="1358"/>
      <c r="AK721" s="1337" t="s">
        <v>591</v>
      </c>
      <c r="AL721" s="1338"/>
      <c r="AM721" s="1338"/>
      <c r="AN721" s="1338"/>
      <c r="AO721" s="1339"/>
      <c r="AP721" s="3"/>
      <c r="AQ721" s="3"/>
      <c r="AR721" s="3"/>
      <c r="AS721" s="3"/>
      <c r="AY721" s="116"/>
      <c r="AZ721" s="118">
        <f t="shared" si="9"/>
        <v>2506</v>
      </c>
      <c r="BA721" s="3"/>
      <c r="BB721" s="3"/>
      <c r="BC721" s="3"/>
      <c r="BD721" s="3"/>
      <c r="BE721" s="204"/>
      <c r="BF721" s="294">
        <f t="shared" si="10"/>
        <v>9</v>
      </c>
      <c r="BG721" s="297">
        <f t="shared" si="11"/>
        <v>0.14285714285714285</v>
      </c>
      <c r="BH721" s="298">
        <f t="shared" si="12"/>
        <v>4.2857142857142851E-2</v>
      </c>
      <c r="BI721" s="3"/>
      <c r="BJ721" s="3"/>
      <c r="BK721" s="3"/>
      <c r="BL721" s="3"/>
      <c r="BM721" s="3"/>
      <c r="BN721" s="3"/>
      <c r="BS721" s="294">
        <f t="shared" si="13"/>
        <v>9</v>
      </c>
      <c r="BT721" s="297">
        <f t="shared" si="14"/>
        <v>0.14285714285714285</v>
      </c>
      <c r="BU721" s="298">
        <f t="shared" si="15"/>
        <v>4.2811538023030442E-2</v>
      </c>
      <c r="CC721" s="3"/>
      <c r="CD721" s="3"/>
      <c r="CE721" s="3"/>
      <c r="CF721" s="3"/>
      <c r="CG721" s="1464">
        <f t="shared" si="37"/>
        <v>0</v>
      </c>
      <c r="CH721" s="1465"/>
      <c r="CI721" s="1470">
        <f t="shared" si="38"/>
        <v>0</v>
      </c>
      <c r="CJ721" s="1471"/>
      <c r="CK721" s="1464">
        <f t="shared" si="16"/>
        <v>1</v>
      </c>
      <c r="CL721" s="1465"/>
      <c r="CM721" s="1470">
        <f t="shared" si="17"/>
        <v>9</v>
      </c>
      <c r="CN721" s="1471"/>
      <c r="CO721" s="3"/>
      <c r="CP721" s="1459">
        <f t="shared" si="18"/>
        <v>0</v>
      </c>
      <c r="CQ721" s="1460"/>
      <c r="CR721" s="1460"/>
      <c r="CS721" s="1460"/>
      <c r="CT721" s="1461"/>
      <c r="CU721" s="1444">
        <f t="shared" si="19"/>
        <v>9</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9</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f t="shared" si="31"/>
        <v>650</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325</v>
      </c>
      <c r="C722" s="1338"/>
      <c r="D722" s="1338"/>
      <c r="E722" s="1338"/>
      <c r="F722" s="1339"/>
      <c r="G722" s="1350">
        <v>5</v>
      </c>
      <c r="H722" s="1351"/>
      <c r="I722" s="1351"/>
      <c r="J722" s="1352"/>
      <c r="K722" s="1343">
        <v>621</v>
      </c>
      <c r="L722" s="1344"/>
      <c r="M722" s="1344"/>
      <c r="N722" s="1345"/>
      <c r="O722" s="1340">
        <f>1503-T722</f>
        <v>1402</v>
      </c>
      <c r="P722" s="1341"/>
      <c r="Q722" s="1341"/>
      <c r="R722" s="1341"/>
      <c r="S722" s="1342"/>
      <c r="T722" s="1340">
        <v>101</v>
      </c>
      <c r="U722" s="1341"/>
      <c r="V722" s="1341"/>
      <c r="W722" s="1342"/>
      <c r="X722" s="1353">
        <f t="shared" si="8"/>
        <v>1503</v>
      </c>
      <c r="Y722" s="1354"/>
      <c r="Z722" s="1354"/>
      <c r="AA722" s="1354"/>
      <c r="AB722" s="1355"/>
      <c r="AC722" s="1360">
        <v>0.6</v>
      </c>
      <c r="AD722" s="1361"/>
      <c r="AE722" s="1361"/>
      <c r="AF722" s="1361"/>
      <c r="AG722" s="1362"/>
      <c r="AH722" s="1356">
        <f t="shared" si="36"/>
        <v>0.59976057462090981</v>
      </c>
      <c r="AI722" s="1357"/>
      <c r="AJ722" s="1358"/>
      <c r="AK722" s="1337" t="s">
        <v>591</v>
      </c>
      <c r="AL722" s="1338"/>
      <c r="AM722" s="1338"/>
      <c r="AN722" s="1338"/>
      <c r="AO722" s="1339"/>
      <c r="AP722" s="3"/>
      <c r="AQ722" s="3"/>
      <c r="AR722" s="3"/>
      <c r="AS722" s="3"/>
      <c r="AY722" s="116"/>
      <c r="AZ722" s="118">
        <f t="shared" si="9"/>
        <v>2506</v>
      </c>
      <c r="BA722" s="3"/>
      <c r="BB722" s="3"/>
      <c r="BC722" s="3"/>
      <c r="BD722" s="3"/>
      <c r="BE722" s="204"/>
      <c r="BF722" s="294">
        <f t="shared" si="10"/>
        <v>5</v>
      </c>
      <c r="BG722" s="297">
        <f t="shared" si="11"/>
        <v>7.9365079365079361E-2</v>
      </c>
      <c r="BH722" s="298">
        <f t="shared" si="12"/>
        <v>4.7619047619047616E-2</v>
      </c>
      <c r="BI722" s="3"/>
      <c r="BJ722" s="3"/>
      <c r="BK722" s="3"/>
      <c r="BL722" s="3"/>
      <c r="BM722" s="3"/>
      <c r="BN722" s="3"/>
      <c r="BS722" s="294">
        <f t="shared" si="13"/>
        <v>5</v>
      </c>
      <c r="BT722" s="297">
        <f t="shared" si="14"/>
        <v>7.9365079365079361E-2</v>
      </c>
      <c r="BU722" s="298">
        <f t="shared" si="15"/>
        <v>4.7600045604834107E-2</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5</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1402</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c r="C723" s="1338"/>
      <c r="D723" s="1338"/>
      <c r="E723" s="1338"/>
      <c r="F723" s="1339"/>
      <c r="G723" s="1350"/>
      <c r="H723" s="1351"/>
      <c r="I723" s="1351"/>
      <c r="J723" s="1352"/>
      <c r="K723" s="1343"/>
      <c r="L723" s="1344"/>
      <c r="M723" s="1344"/>
      <c r="N723" s="1345"/>
      <c r="O723" s="1340"/>
      <c r="P723" s="1341"/>
      <c r="Q723" s="1341"/>
      <c r="R723" s="1341"/>
      <c r="S723" s="1342"/>
      <c r="T723" s="1340"/>
      <c r="U723" s="1341"/>
      <c r="V723" s="1341"/>
      <c r="W723" s="1342"/>
      <c r="X723" s="1353">
        <f t="shared" si="8"/>
        <v>0</v>
      </c>
      <c r="Y723" s="1354"/>
      <c r="Z723" s="1354"/>
      <c r="AA723" s="1354"/>
      <c r="AB723" s="1355"/>
      <c r="AC723" s="1360"/>
      <c r="AD723" s="1361"/>
      <c r="AE723" s="1361"/>
      <c r="AF723" s="1361"/>
      <c r="AG723" s="1362"/>
      <c r="AH723" s="1356" t="str">
        <f t="shared" si="36"/>
        <v/>
      </c>
      <c r="AI723" s="1357"/>
      <c r="AJ723" s="1358"/>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325</v>
      </c>
      <c r="C724" s="1338"/>
      <c r="D724" s="1338"/>
      <c r="E724" s="1338"/>
      <c r="F724" s="1339"/>
      <c r="G724" s="1350">
        <v>11</v>
      </c>
      <c r="H724" s="1351"/>
      <c r="I724" s="1351"/>
      <c r="J724" s="1352"/>
      <c r="K724" s="1343">
        <v>616</v>
      </c>
      <c r="L724" s="1344"/>
      <c r="M724" s="1344"/>
      <c r="N724" s="1345"/>
      <c r="O724" s="1340">
        <f>751-T724</f>
        <v>600</v>
      </c>
      <c r="P724" s="1341"/>
      <c r="Q724" s="1341"/>
      <c r="R724" s="1341"/>
      <c r="S724" s="1342"/>
      <c r="T724" s="1340">
        <v>151</v>
      </c>
      <c r="U724" s="1341"/>
      <c r="V724" s="1341"/>
      <c r="W724" s="1342"/>
      <c r="X724" s="1353">
        <f t="shared" si="8"/>
        <v>751</v>
      </c>
      <c r="Y724" s="1354"/>
      <c r="Z724" s="1354"/>
      <c r="AA724" s="1354"/>
      <c r="AB724" s="1355"/>
      <c r="AC724" s="1360">
        <v>0.3</v>
      </c>
      <c r="AD724" s="1361"/>
      <c r="AE724" s="1361"/>
      <c r="AF724" s="1361"/>
      <c r="AG724" s="1362"/>
      <c r="AH724" s="1356">
        <f t="shared" si="36"/>
        <v>0.29968076616121309</v>
      </c>
      <c r="AI724" s="1357"/>
      <c r="AJ724" s="1358"/>
      <c r="AK724" s="1337" t="s">
        <v>591</v>
      </c>
      <c r="AL724" s="1338"/>
      <c r="AM724" s="1338"/>
      <c r="AN724" s="1338"/>
      <c r="AO724" s="1339"/>
      <c r="AP724" s="3"/>
      <c r="AQ724" s="3"/>
      <c r="AR724" s="3"/>
      <c r="AS724" s="3"/>
      <c r="AY724" s="116"/>
      <c r="AZ724" s="118">
        <f t="shared" si="9"/>
        <v>2506</v>
      </c>
      <c r="BA724" s="3"/>
      <c r="BB724" s="3"/>
      <c r="BC724" s="3"/>
      <c r="BD724" s="3"/>
      <c r="BE724" s="204"/>
      <c r="BF724" s="294">
        <f t="shared" si="10"/>
        <v>11</v>
      </c>
      <c r="BG724" s="297">
        <f t="shared" si="11"/>
        <v>0.17460317460317459</v>
      </c>
      <c r="BH724" s="298">
        <f t="shared" si="12"/>
        <v>5.2380952380952375E-2</v>
      </c>
      <c r="BI724" s="3"/>
      <c r="BJ724" s="3"/>
      <c r="BK724" s="3"/>
      <c r="BL724" s="3"/>
      <c r="BM724" s="3"/>
      <c r="BN724" s="3"/>
      <c r="BS724" s="294">
        <f t="shared" si="13"/>
        <v>11</v>
      </c>
      <c r="BT724" s="297">
        <f t="shared" si="14"/>
        <v>0.17460317460317459</v>
      </c>
      <c r="BU724" s="298">
        <f t="shared" si="15"/>
        <v>5.2325213139259426E-2</v>
      </c>
      <c r="CC724" s="3"/>
      <c r="CE724" s="3"/>
      <c r="CF724" s="3"/>
      <c r="CG724" s="1464">
        <f t="shared" si="37"/>
        <v>0</v>
      </c>
      <c r="CH724" s="1465"/>
      <c r="CI724" s="1470">
        <f t="shared" si="38"/>
        <v>0</v>
      </c>
      <c r="CJ724" s="1471"/>
      <c r="CK724" s="1464">
        <f t="shared" si="16"/>
        <v>1</v>
      </c>
      <c r="CL724" s="1465"/>
      <c r="CM724" s="1470">
        <f t="shared" si="17"/>
        <v>11</v>
      </c>
      <c r="CN724" s="1471"/>
      <c r="CO724" s="3"/>
      <c r="CP724" s="1459">
        <f t="shared" si="18"/>
        <v>0</v>
      </c>
      <c r="CQ724" s="1460"/>
      <c r="CR724" s="1460"/>
      <c r="CS724" s="1460"/>
      <c r="CT724" s="1461"/>
      <c r="CU724" s="1444">
        <f t="shared" si="19"/>
        <v>11</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11</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600</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325</v>
      </c>
      <c r="C725" s="1338"/>
      <c r="D725" s="1338"/>
      <c r="E725" s="1338"/>
      <c r="F725" s="1339"/>
      <c r="G725" s="1350">
        <v>18</v>
      </c>
      <c r="H725" s="1351"/>
      <c r="I725" s="1351"/>
      <c r="J725" s="1352"/>
      <c r="K725" s="1343">
        <v>616</v>
      </c>
      <c r="L725" s="1344"/>
      <c r="M725" s="1344"/>
      <c r="N725" s="1345"/>
      <c r="O725" s="1340">
        <f>1503-T725</f>
        <v>1352</v>
      </c>
      <c r="P725" s="1341"/>
      <c r="Q725" s="1341"/>
      <c r="R725" s="1341"/>
      <c r="S725" s="1342"/>
      <c r="T725" s="1340">
        <v>151</v>
      </c>
      <c r="U725" s="1341"/>
      <c r="V725" s="1341"/>
      <c r="W725" s="1342"/>
      <c r="X725" s="1353">
        <f t="shared" si="8"/>
        <v>1503</v>
      </c>
      <c r="Y725" s="1354"/>
      <c r="Z725" s="1354"/>
      <c r="AA725" s="1354"/>
      <c r="AB725" s="1355"/>
      <c r="AC725" s="1360">
        <v>0.6</v>
      </c>
      <c r="AD725" s="1361"/>
      <c r="AE725" s="1361"/>
      <c r="AF725" s="1361"/>
      <c r="AG725" s="1362"/>
      <c r="AH725" s="1356">
        <f t="shared" si="36"/>
        <v>0.59976057462090981</v>
      </c>
      <c r="AI725" s="1357"/>
      <c r="AJ725" s="1358"/>
      <c r="AK725" s="1337" t="s">
        <v>591</v>
      </c>
      <c r="AL725" s="1338"/>
      <c r="AM725" s="1338"/>
      <c r="AN725" s="1338"/>
      <c r="AO725" s="1339"/>
      <c r="AP725" s="3"/>
      <c r="AQ725" s="3"/>
      <c r="AR725" s="3"/>
      <c r="AS725" s="3"/>
      <c r="AY725" s="1085"/>
      <c r="AZ725" s="118">
        <f t="shared" si="9"/>
        <v>2506</v>
      </c>
      <c r="BA725" s="3"/>
      <c r="BB725" s="3"/>
      <c r="BC725" s="3"/>
      <c r="BD725" s="3"/>
      <c r="BE725" s="204"/>
      <c r="BF725" s="294">
        <f t="shared" si="10"/>
        <v>18</v>
      </c>
      <c r="BG725" s="297">
        <f t="shared" si="11"/>
        <v>0.2857142857142857</v>
      </c>
      <c r="BH725" s="298">
        <f t="shared" si="12"/>
        <v>0.1714285714285714</v>
      </c>
      <c r="BI725" s="3"/>
      <c r="BJ725" s="3"/>
      <c r="BK725" s="3"/>
      <c r="BL725" s="3"/>
      <c r="BM725" s="3"/>
      <c r="BN725" s="3"/>
      <c r="BS725" s="294">
        <f t="shared" si="13"/>
        <v>18</v>
      </c>
      <c r="BT725" s="297">
        <f t="shared" si="14"/>
        <v>0.2857142857142857</v>
      </c>
      <c r="BU725" s="298">
        <f t="shared" si="15"/>
        <v>0.1713601641774028</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18</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f t="shared" si="31"/>
        <v>1352</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591</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t="s">
        <v>325</v>
      </c>
      <c r="C728" s="1338"/>
      <c r="D728" s="1338"/>
      <c r="E728" s="1338"/>
      <c r="F728" s="1339"/>
      <c r="G728" s="1350">
        <v>1</v>
      </c>
      <c r="H728" s="1351"/>
      <c r="I728" s="1351"/>
      <c r="J728" s="1352"/>
      <c r="K728" s="1343">
        <v>642</v>
      </c>
      <c r="L728" s="1344"/>
      <c r="M728" s="1344"/>
      <c r="N728" s="1345"/>
      <c r="O728" s="1340">
        <v>1355</v>
      </c>
      <c r="P728" s="1341"/>
      <c r="Q728" s="1341"/>
      <c r="R728" s="1341"/>
      <c r="S728" s="1342"/>
      <c r="T728" s="1340">
        <v>148</v>
      </c>
      <c r="U728" s="1341"/>
      <c r="V728" s="1341"/>
      <c r="W728" s="1342"/>
      <c r="X728" s="1353">
        <f t="shared" si="8"/>
        <v>1503</v>
      </c>
      <c r="Y728" s="1354"/>
      <c r="Z728" s="1354"/>
      <c r="AA728" s="1354"/>
      <c r="AB728" s="1355"/>
      <c r="AC728" s="1360">
        <v>0.6</v>
      </c>
      <c r="AD728" s="1361"/>
      <c r="AE728" s="1361"/>
      <c r="AF728" s="1361"/>
      <c r="AG728" s="1362"/>
      <c r="AH728" s="1356">
        <f t="shared" si="36"/>
        <v>0.59976057462090981</v>
      </c>
      <c r="AI728" s="1357"/>
      <c r="AJ728" s="1358"/>
      <c r="AK728" s="1337" t="s">
        <v>591</v>
      </c>
      <c r="AL728" s="1338"/>
      <c r="AM728" s="1338"/>
      <c r="AN728" s="1338"/>
      <c r="AO728" s="1339"/>
      <c r="AP728" s="3"/>
      <c r="AQ728" s="3"/>
      <c r="AR728" s="3"/>
      <c r="AS728" s="3"/>
      <c r="AY728" s="1085"/>
      <c r="AZ728" s="118">
        <f t="shared" si="9"/>
        <v>2506</v>
      </c>
      <c r="BA728" s="3"/>
      <c r="BB728" s="3"/>
      <c r="BC728" s="3"/>
      <c r="BD728" s="3"/>
      <c r="BE728" s="204"/>
      <c r="BF728" s="294">
        <f t="shared" si="10"/>
        <v>1</v>
      </c>
      <c r="BG728" s="297">
        <f t="shared" si="11"/>
        <v>1.5873015873015872E-2</v>
      </c>
      <c r="BH728" s="298">
        <f t="shared" si="12"/>
        <v>9.5238095238095229E-3</v>
      </c>
      <c r="BI728" s="3"/>
      <c r="BJ728" s="3"/>
      <c r="BK728" s="3"/>
      <c r="BL728" s="3"/>
      <c r="BM728" s="3"/>
      <c r="BN728" s="3"/>
      <c r="BS728" s="294">
        <f t="shared" si="13"/>
        <v>1</v>
      </c>
      <c r="BT728" s="297">
        <f t="shared" si="14"/>
        <v>1.5873015873015872E-2</v>
      </c>
      <c r="BU728" s="298">
        <f t="shared" si="15"/>
        <v>9.5200091209668228E-3</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1</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f t="shared" si="31"/>
        <v>1355</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63</v>
      </c>
      <c r="H753" s="1623"/>
      <c r="I753" s="1623"/>
      <c r="J753" s="1624"/>
      <c r="K753" s="902" t="s">
        <v>124</v>
      </c>
      <c r="L753" s="5"/>
      <c r="M753" s="5"/>
      <c r="N753" s="46"/>
      <c r="O753" s="1353">
        <f>SUMPRODUCT(G718:G752,O718:O752)</f>
        <v>64128</v>
      </c>
      <c r="P753" s="1354"/>
      <c r="Q753" s="1354"/>
      <c r="R753" s="1354"/>
      <c r="S753" s="1355"/>
      <c r="T753"/>
      <c r="U753"/>
      <c r="V753"/>
      <c r="W753"/>
      <c r="X753" s="904" t="s">
        <v>900</v>
      </c>
      <c r="Y753" s="903"/>
      <c r="Z753" s="903"/>
      <c r="AA753" s="903"/>
      <c r="AB753" s="905"/>
      <c r="AC753" s="1605">
        <f>BH753</f>
        <v>0.46190476190476187</v>
      </c>
      <c r="AD753" s="1606"/>
      <c r="AE753" s="1606"/>
      <c r="AF753" s="1606"/>
      <c r="AG753" s="1607"/>
      <c r="AH753" s="1605">
        <f>IFERROR(BU753,"")</f>
        <v>0.46162859929819228</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63</v>
      </c>
      <c r="BG753" s="300">
        <f>SUM(BG718:BG752)</f>
        <v>1</v>
      </c>
      <c r="BH753" s="300">
        <f>SUM(BH718:BH752)</f>
        <v>0.46190476190476187</v>
      </c>
      <c r="BI753"/>
      <c r="BJ753"/>
      <c r="BK753"/>
      <c r="BL753"/>
      <c r="BO753"/>
      <c r="BP753"/>
      <c r="BQ753"/>
      <c r="BR753"/>
      <c r="BS753" s="859">
        <f>SUM(BS718:BS752)</f>
        <v>63</v>
      </c>
      <c r="BT753" s="300">
        <f>SUM(BT718:BT752)</f>
        <v>1</v>
      </c>
      <c r="BU753" s="300">
        <f>SUM(BU718:BU752)</f>
        <v>0.46162859929819228</v>
      </c>
      <c r="CI753" s="1464">
        <f>SUM(CI718:CJ752)</f>
        <v>0</v>
      </c>
      <c r="CJ753" s="1465"/>
      <c r="CM753" s="1464">
        <f>SUM(CM718:CN752)</f>
        <v>29</v>
      </c>
      <c r="CN753" s="1465"/>
      <c r="CP753" s="1464">
        <f>SUM(CP718:CT752)</f>
        <v>0</v>
      </c>
      <c r="CQ753" s="1466"/>
      <c r="CR753" s="1466"/>
      <c r="CS753" s="1466"/>
      <c r="CT753" s="1465"/>
      <c r="CU753" s="1462">
        <f>SUM(CU718:CY752)</f>
        <v>63</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29</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7317</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63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63</v>
      </c>
      <c r="P756" s="1462"/>
      <c r="Q756" s="1462"/>
      <c r="R756" s="1462"/>
      <c r="S756" s="969"/>
      <c r="T756" s="969"/>
      <c r="U756" s="118" t="s">
        <v>1893</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669</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2" t="s">
        <v>1679</v>
      </c>
      <c r="U769" s="1723"/>
      <c r="V769" s="1723"/>
      <c r="W769" s="1724"/>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5"/>
      <c r="U770" s="1726"/>
      <c r="V770" s="1726"/>
      <c r="W770" s="1727"/>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5"/>
      <c r="U771" s="1726"/>
      <c r="V771" s="1726"/>
      <c r="W771" s="1727"/>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8"/>
      <c r="U772" s="1729"/>
      <c r="V772" s="1729"/>
      <c r="W772" s="1730"/>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c r="K773" s="1338"/>
      <c r="L773" s="1338"/>
      <c r="M773" s="1338"/>
      <c r="N773" s="1339"/>
      <c r="O773" s="1614"/>
      <c r="P773" s="1614"/>
      <c r="Q773" s="1614"/>
      <c r="R773" s="1614"/>
      <c r="S773" s="1614"/>
      <c r="T773" s="1343"/>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t="s">
        <v>163</v>
      </c>
      <c r="K774" s="1338"/>
      <c r="L774" s="1338"/>
      <c r="M774" s="1338"/>
      <c r="N774" s="1339"/>
      <c r="O774" s="1614">
        <v>1</v>
      </c>
      <c r="P774" s="1614"/>
      <c r="Q774" s="1614"/>
      <c r="R774" s="1614"/>
      <c r="S774" s="1614"/>
      <c r="T774" s="1343">
        <v>773</v>
      </c>
      <c r="U774" s="1344"/>
      <c r="V774" s="1344"/>
      <c r="W774" s="1345"/>
      <c r="X774" s="1340">
        <v>0</v>
      </c>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1</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2" t="s">
        <v>1679</v>
      </c>
      <c r="U783" s="1723"/>
      <c r="V783" s="1723"/>
      <c r="W783" s="1724"/>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5"/>
      <c r="U784" s="1726"/>
      <c r="V784" s="1726"/>
      <c r="W784" s="1727"/>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5"/>
      <c r="U785" s="1726"/>
      <c r="V785" s="1726"/>
      <c r="W785" s="1727"/>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8"/>
      <c r="U786" s="1729"/>
      <c r="V786" s="1729"/>
      <c r="W786" s="1730"/>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2">
        <f>SUM(O787:S796)</f>
        <v>0</v>
      </c>
      <c r="P797" s="1732"/>
      <c r="Q797" s="1732"/>
      <c r="R797" s="1732"/>
      <c r="S797" s="1732"/>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64128</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769536</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63</v>
      </c>
      <c r="CV802" s="1474"/>
      <c r="CW802" s="1474"/>
      <c r="CX802" s="1474"/>
      <c r="CY802" s="1475"/>
      <c r="CZ802" s="1473">
        <f>CZ753+CZ777+CZ797</f>
        <v>1</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63</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62</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4">
        <v>30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56994</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846744</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5685</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5685</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1621965</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5"/>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3" t="s">
        <v>335</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459</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9" t="s">
        <v>2744</v>
      </c>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9" t="s">
        <v>2708</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773</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f>575+515+1050</f>
        <v>2140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7500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2748</v>
      </c>
      <c r="N846" s="1595"/>
      <c r="O846" s="1595"/>
      <c r="P846" s="1595"/>
      <c r="Q846" s="1595"/>
      <c r="R846" s="1595"/>
      <c r="S846" s="1595"/>
      <c r="T846" s="1595"/>
      <c r="U846" s="1595"/>
      <c r="V846" s="1596"/>
      <c r="W846" s="1482">
        <f>34723-10413+3135+7500</f>
        <v>34945</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45358</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68352</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721"/>
      <c r="BA851" s="1721"/>
      <c r="BB851" s="14"/>
      <c r="BC851" s="14"/>
    </row>
    <row r="852" spans="3:55" ht="12.95" customHeight="1">
      <c r="J852" s="45" t="s">
        <v>351</v>
      </c>
      <c r="K852" s="5"/>
      <c r="L852" s="5"/>
      <c r="M852" s="5"/>
      <c r="N852" s="5"/>
      <c r="O852" s="5"/>
      <c r="P852" s="5"/>
      <c r="Q852" s="5"/>
      <c r="R852" s="5"/>
      <c r="S852" s="5"/>
      <c r="T852" s="5"/>
      <c r="U852" s="5"/>
      <c r="V852" s="46"/>
      <c r="W852" s="1653">
        <f>3693+2975</f>
        <v>6668</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f>4204+5646</f>
        <v>9850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f>7412+17652+3843+13165+11484+25983</f>
        <v>79539</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708">
        <f>SUM(W851:W854)</f>
        <v>96057</v>
      </c>
      <c r="X855" s="1708"/>
      <c r="Y855" s="1708"/>
      <c r="Z855" s="1708"/>
      <c r="AA855" s="1708"/>
      <c r="AB855" s="1708"/>
      <c r="AC855" s="1708"/>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1">
        <f>15262+10174+25436+27128</f>
        <v>78000</v>
      </c>
      <c r="X857" s="1632"/>
      <c r="Y857" s="1632"/>
      <c r="Z857" s="1632"/>
      <c r="AA857" s="1632"/>
      <c r="AB857" s="1632"/>
      <c r="AC857" s="1633"/>
      <c r="AD857" s="528"/>
      <c r="AZ857" s="34"/>
      <c r="BA857" s="34"/>
      <c r="BB857" s="34"/>
      <c r="BC857" s="34"/>
    </row>
    <row r="858" spans="3:55" ht="12.95" customHeight="1">
      <c r="C858" s="2" t="s">
        <v>347</v>
      </c>
      <c r="J858" s="121" t="s">
        <v>1655</v>
      </c>
      <c r="K858" s="5"/>
      <c r="L858" s="5"/>
      <c r="M858" s="5"/>
      <c r="N858" s="5"/>
      <c r="O858" s="5"/>
      <c r="P858" s="5"/>
      <c r="Q858" s="5"/>
      <c r="R858" s="5"/>
      <c r="S858" s="5"/>
      <c r="T858" s="1712">
        <v>2</v>
      </c>
      <c r="U858" s="1699"/>
      <c r="V858" s="1713"/>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1">
        <f>27347+10939+16408+17056</f>
        <v>71750</v>
      </c>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2">
        <v>1</v>
      </c>
      <c r="U860" s="1699"/>
      <c r="V860" s="1713"/>
      <c r="W860" s="874"/>
      <c r="X860" s="875"/>
      <c r="Y860" s="875"/>
      <c r="Z860" s="875"/>
      <c r="AA860" s="875"/>
      <c r="AB860" s="875"/>
      <c r="AC860" s="876"/>
      <c r="AD860" s="533"/>
      <c r="AZ860" s="34"/>
      <c r="BA860" s="34"/>
      <c r="BB860" s="34"/>
      <c r="BC860" s="34"/>
    </row>
    <row r="861" spans="3:55" ht="12.95" customHeight="1">
      <c r="J861" s="45" t="s">
        <v>170</v>
      </c>
      <c r="K861" s="5"/>
      <c r="L861" s="5"/>
      <c r="M861" s="1594" t="s">
        <v>2747</v>
      </c>
      <c r="N861" s="1595"/>
      <c r="O861" s="1595"/>
      <c r="P861" s="1595"/>
      <c r="Q861" s="1595"/>
      <c r="R861" s="1595"/>
      <c r="S861" s="1595"/>
      <c r="T861" s="1595"/>
      <c r="U861" s="1595"/>
      <c r="V861" s="1596"/>
      <c r="W861" s="1631">
        <f>7067+4383+2123+4711+3575+1651+11778+5998+3235+5000</f>
        <v>49521</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4">
        <f>SUM(W857:W861)</f>
        <v>199271</v>
      </c>
      <c r="X862" s="1715"/>
      <c r="Y862" s="1715"/>
      <c r="Z862" s="1715"/>
      <c r="AA862" s="1715"/>
      <c r="AB862" s="1715"/>
      <c r="AC862" s="1716"/>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30791</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2">
        <f>773+566+700</f>
        <v>2039</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f>3500+1400+2000+28428</f>
        <v>35328</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f>4580+4250+17149</f>
        <v>25979</v>
      </c>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f>4725+3150+5216</f>
        <v>13091</v>
      </c>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f>10300+4700+8200</f>
        <v>23200</v>
      </c>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6">
        <f>SUM(W865:W871)</f>
        <v>99637</v>
      </c>
      <c r="X872" s="1706"/>
      <c r="Y872" s="1706"/>
      <c r="Z872" s="1706"/>
      <c r="AA872" s="1706"/>
      <c r="AB872" s="1706"/>
      <c r="AC872" s="17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1244</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539466</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7">
        <f>O797+O777+G753</f>
        <v>64</v>
      </c>
      <c r="AD884" s="1717"/>
      <c r="AE884" s="1717"/>
      <c r="AF884" s="1717"/>
      <c r="AG884" s="1717"/>
      <c r="AH884" s="1718"/>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6">
        <f>IF(ISERROR((ROUNDDOWN(AC883/AC884,0))),0,(ROUNDDOWN(AC883/AC884,0)))</f>
        <v>8429</v>
      </c>
      <c r="AD885" s="1706"/>
      <c r="AE885" s="1706"/>
      <c r="AF885" s="1706"/>
      <c r="AG885" s="1706"/>
      <c r="AH885" s="17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9">
        <v>327000</v>
      </c>
      <c r="AD886" s="1720"/>
      <c r="AE886" s="1720"/>
      <c r="AF886" s="1720"/>
      <c r="AG886" s="1720"/>
      <c r="AH886" s="172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19200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4000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f>10639+7099+5998</f>
        <v>23736</v>
      </c>
      <c r="AD891" s="1468"/>
      <c r="AE891" s="1468"/>
      <c r="AF891" s="1468"/>
      <c r="AG891" s="1468"/>
      <c r="AH891" s="1469"/>
      <c r="AZ891" s="34"/>
      <c r="BA891" s="34"/>
      <c r="BB891" s="34"/>
      <c r="BC891" s="34"/>
    </row>
    <row r="892" spans="3:55" ht="12.95"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5"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792</v>
      </c>
      <c r="G915" s="1651"/>
      <c r="H915" s="1651"/>
      <c r="I915" s="1651"/>
      <c r="J915" s="1651"/>
      <c r="K915" s="1651"/>
      <c r="L915" s="1651"/>
      <c r="M915" s="1651"/>
      <c r="N915" s="1651"/>
      <c r="O915" s="1651"/>
      <c r="P915" s="1651"/>
      <c r="Q915" s="1651"/>
      <c r="R915" s="1651"/>
      <c r="S915" s="1651"/>
      <c r="T915" s="1652"/>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591</v>
      </c>
      <c r="V918" s="1403"/>
      <c r="W918" s="1403"/>
      <c r="X918" s="1403"/>
      <c r="Y918" s="1403"/>
      <c r="Z918" s="1404"/>
      <c r="AA918" s="1408"/>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545</v>
      </c>
      <c r="V923" s="1403"/>
      <c r="W923" s="1403"/>
      <c r="X923" s="1403"/>
      <c r="Y923" s="1403"/>
      <c r="Z923" s="1404"/>
      <c r="AA923" s="1408">
        <f>AM556</f>
        <v>2342068</v>
      </c>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2193</v>
      </c>
      <c r="G926" s="1603"/>
      <c r="H926" s="1603"/>
      <c r="I926" s="1603"/>
      <c r="J926" s="1603"/>
      <c r="K926" s="1603"/>
      <c r="L926" s="1603"/>
      <c r="M926" s="1603"/>
      <c r="N926" s="1603"/>
      <c r="O926" s="1603"/>
      <c r="P926" s="1603"/>
      <c r="Q926" s="1603"/>
      <c r="R926" s="1603"/>
      <c r="S926" s="1603"/>
      <c r="T926" s="1604"/>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2" t="s">
        <v>679</v>
      </c>
      <c r="G927" s="1603"/>
      <c r="H927" s="1603"/>
      <c r="I927" s="1603"/>
      <c r="J927" s="1603"/>
      <c r="K927" s="1603"/>
      <c r="L927" s="1603"/>
      <c r="M927" s="1603"/>
      <c r="N927" s="1603"/>
      <c r="O927" s="1603"/>
      <c r="P927" s="1603"/>
      <c r="Q927" s="1603"/>
      <c r="R927" s="1603"/>
      <c r="S927" s="1603"/>
      <c r="T927" s="1604"/>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2194</v>
      </c>
      <c r="G928" s="1603"/>
      <c r="H928" s="1603"/>
      <c r="I928" s="1603"/>
      <c r="J928" s="1603"/>
      <c r="K928" s="1603"/>
      <c r="L928" s="1603"/>
      <c r="M928" s="1603"/>
      <c r="N928" s="1603"/>
      <c r="O928" s="1603"/>
      <c r="P928" s="1603"/>
      <c r="Q928" s="1603"/>
      <c r="R928" s="1603"/>
      <c r="S928" s="1603"/>
      <c r="T928" s="1604"/>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2195</v>
      </c>
      <c r="G929" s="1603"/>
      <c r="H929" s="1603"/>
      <c r="I929" s="1603"/>
      <c r="J929" s="1603"/>
      <c r="K929" s="1603"/>
      <c r="L929" s="1603"/>
      <c r="M929" s="1603"/>
      <c r="N929" s="1603"/>
      <c r="O929" s="1603"/>
      <c r="P929" s="1603"/>
      <c r="Q929" s="1603"/>
      <c r="R929" s="1603"/>
      <c r="S929" s="1603"/>
      <c r="T929" s="1604"/>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2196</v>
      </c>
      <c r="G930" s="1603"/>
      <c r="H930" s="1603"/>
      <c r="I930" s="1603"/>
      <c r="J930" s="1603"/>
      <c r="K930" s="1603"/>
      <c r="L930" s="1603"/>
      <c r="M930" s="1603"/>
      <c r="N930" s="1603"/>
      <c r="O930" s="1603"/>
      <c r="P930" s="1603"/>
      <c r="Q930" s="1603"/>
      <c r="R930" s="1603"/>
      <c r="S930" s="1603"/>
      <c r="T930" s="1604"/>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2197</v>
      </c>
      <c r="G931" s="1603"/>
      <c r="H931" s="1603"/>
      <c r="I931" s="1603"/>
      <c r="J931" s="1603"/>
      <c r="K931" s="1603"/>
      <c r="L931" s="1603"/>
      <c r="M931" s="1603"/>
      <c r="N931" s="1603"/>
      <c r="O931" s="1603"/>
      <c r="P931" s="1603"/>
      <c r="Q931" s="1603"/>
      <c r="R931" s="1603"/>
      <c r="S931" s="1603"/>
      <c r="T931" s="1604"/>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2198</v>
      </c>
      <c r="G932" s="1603"/>
      <c r="H932" s="1603"/>
      <c r="I932" s="1603"/>
      <c r="J932" s="1603"/>
      <c r="K932" s="1603"/>
      <c r="L932" s="1603"/>
      <c r="M932" s="1603"/>
      <c r="N932" s="1603"/>
      <c r="O932" s="1603"/>
      <c r="P932" s="1603"/>
      <c r="Q932" s="1603"/>
      <c r="R932" s="1603"/>
      <c r="S932" s="1603"/>
      <c r="T932" s="1604"/>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2" t="s">
        <v>591</v>
      </c>
      <c r="V936" s="1403"/>
      <c r="W936" s="1403"/>
      <c r="X936" s="1403"/>
      <c r="Y936" s="1403"/>
      <c r="Z936" s="1404"/>
      <c r="AA936" s="1408"/>
      <c r="AB936" s="1409"/>
      <c r="AC936" s="1409"/>
      <c r="AD936" s="1409"/>
      <c r="AE936" s="1409"/>
      <c r="AF936" s="1410"/>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2" t="s">
        <v>591</v>
      </c>
      <c r="V937" s="1403"/>
      <c r="W937" s="1403"/>
      <c r="X937" s="1403"/>
      <c r="Y937" s="1403"/>
      <c r="Z937" s="1404"/>
      <c r="AA937" s="1408"/>
      <c r="AB937" s="1409"/>
      <c r="AC937" s="1409"/>
      <c r="AD937" s="1409"/>
      <c r="AE937" s="1409"/>
      <c r="AF937" s="1410"/>
      <c r="AZ937" s="30"/>
      <c r="BA937" s="30"/>
    </row>
    <row r="938" spans="6:55" ht="12.95" customHeight="1">
      <c r="F938" s="1602" t="s">
        <v>2199</v>
      </c>
      <c r="G938" s="1603"/>
      <c r="H938" s="1603"/>
      <c r="I938" s="1603"/>
      <c r="J938" s="1603"/>
      <c r="K938" s="1603"/>
      <c r="L938" s="1603"/>
      <c r="M938" s="1603"/>
      <c r="N938" s="1603"/>
      <c r="O938" s="1603"/>
      <c r="P938" s="1603"/>
      <c r="Q938" s="1603"/>
      <c r="R938" s="1603"/>
      <c r="S938" s="1603"/>
      <c r="T938" s="1604"/>
      <c r="U938" s="1402" t="s">
        <v>591</v>
      </c>
      <c r="V938" s="1403"/>
      <c r="W938" s="1403"/>
      <c r="X938" s="1403"/>
      <c r="Y938" s="1403"/>
      <c r="Z938" s="1404"/>
      <c r="AA938" s="1408"/>
      <c r="AB938" s="1409"/>
      <c r="AC938" s="1409"/>
      <c r="AD938" s="1409"/>
      <c r="AE938" s="1409"/>
      <c r="AF938" s="1410"/>
      <c r="AZ938" s="30"/>
      <c r="BA938" s="30"/>
    </row>
    <row r="939" spans="6:55" ht="12.95" customHeight="1">
      <c r="F939" s="1602" t="s">
        <v>2200</v>
      </c>
      <c r="G939" s="1603"/>
      <c r="H939" s="1603"/>
      <c r="I939" s="1603"/>
      <c r="J939" s="1603"/>
      <c r="K939" s="1603"/>
      <c r="L939" s="1603"/>
      <c r="M939" s="1603"/>
      <c r="N939" s="1603"/>
      <c r="O939" s="1603"/>
      <c r="P939" s="1603"/>
      <c r="Q939" s="1603"/>
      <c r="R939" s="1603"/>
      <c r="S939" s="1603"/>
      <c r="T939" s="1604"/>
      <c r="U939" s="1402" t="s">
        <v>591</v>
      </c>
      <c r="V939" s="1403"/>
      <c r="W939" s="1403"/>
      <c r="X939" s="1403"/>
      <c r="Y939" s="1403"/>
      <c r="Z939" s="1404"/>
      <c r="AA939" s="1408"/>
      <c r="AB939" s="1409"/>
      <c r="AC939" s="1409"/>
      <c r="AD939" s="1409"/>
      <c r="AE939" s="1409"/>
      <c r="AF939" s="1410"/>
      <c r="AZ939" s="30"/>
      <c r="BA939" s="30"/>
    </row>
    <row r="940" spans="6:55" ht="12.95" customHeight="1">
      <c r="F940" s="1602" t="s">
        <v>2201</v>
      </c>
      <c r="G940" s="1603"/>
      <c r="H940" s="1603"/>
      <c r="I940" s="1603"/>
      <c r="J940" s="1603"/>
      <c r="K940" s="1603"/>
      <c r="L940" s="1603"/>
      <c r="M940" s="1603"/>
      <c r="N940" s="1603"/>
      <c r="O940" s="1603"/>
      <c r="P940" s="1603"/>
      <c r="Q940" s="1603"/>
      <c r="R940" s="1603"/>
      <c r="S940" s="1603"/>
      <c r="T940" s="1604"/>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2192</v>
      </c>
      <c r="G946" s="1603"/>
      <c r="H946" s="1604"/>
      <c r="I946" s="1594" t="s">
        <v>334</v>
      </c>
      <c r="J946" s="1595"/>
      <c r="K946" s="1595"/>
      <c r="L946" s="1595"/>
      <c r="M946" s="1595"/>
      <c r="N946" s="1595"/>
      <c r="O946" s="1595"/>
      <c r="P946" s="1595"/>
      <c r="Q946" s="1595"/>
      <c r="R946" s="1595"/>
      <c r="S946" s="1595"/>
      <c r="T946" s="1596"/>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46037</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2709</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880</v>
      </c>
      <c r="D957" s="5"/>
      <c r="E957" s="5"/>
      <c r="J957" s="1554" t="s">
        <v>307</v>
      </c>
      <c r="K957" s="1555"/>
      <c r="L957" s="1555"/>
      <c r="M957" s="1555"/>
      <c r="N957" s="1555"/>
      <c r="O957" s="1555"/>
      <c r="P957" s="1555"/>
      <c r="Q957" s="1555"/>
      <c r="R957" s="1555"/>
      <c r="S957" s="1556"/>
      <c r="U957" s="66" t="s">
        <v>880</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f>62/63</f>
        <v>0.98412698412698407</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v>62</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f>Z809</f>
        <v>846744</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M960*30</f>
        <v>25402320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v>30</v>
      </c>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f>M975</f>
        <v>605136</v>
      </c>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4" t="s">
        <v>591</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545</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f>(16861+21509+12058)*12</f>
        <v>605136</v>
      </c>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352022</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405878</v>
      </c>
      <c r="S987" s="1553"/>
      <c r="T987" s="1553"/>
      <c r="U987" s="1553"/>
      <c r="V987" s="1553"/>
      <c r="W987" s="1553"/>
      <c r="X987" s="1553"/>
      <c r="Y987" s="1553"/>
      <c r="Z987" s="1553"/>
      <c r="AA987" s="1553"/>
      <c r="AB987" s="1390">
        <f>CU802</f>
        <v>63</v>
      </c>
      <c r="AC987" s="1391"/>
      <c r="AD987" s="1391"/>
      <c r="AE987" s="1391"/>
      <c r="AF987" s="1391"/>
      <c r="AG987" s="1391"/>
      <c r="AH987" s="1391"/>
      <c r="AI987" s="1392"/>
      <c r="AJ987" s="1489">
        <f>IF(ISERROR((R987*AB987)),0,(R987*AB987))</f>
        <v>25570314</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489600</v>
      </c>
      <c r="S988" s="1553"/>
      <c r="T988" s="1553"/>
      <c r="U988" s="1553"/>
      <c r="V988" s="1553"/>
      <c r="W988" s="1553"/>
      <c r="X988" s="1553"/>
      <c r="Y988" s="1553"/>
      <c r="Z988" s="1553"/>
      <c r="AA988" s="1553"/>
      <c r="AB988" s="1390">
        <f>CZ802</f>
        <v>1</v>
      </c>
      <c r="AC988" s="1391"/>
      <c r="AD988" s="1391"/>
      <c r="AE988" s="1391"/>
      <c r="AF988" s="1391"/>
      <c r="AG988" s="1391"/>
      <c r="AH988" s="1391"/>
      <c r="AI988" s="1392"/>
      <c r="AJ988" s="1489">
        <f>IF(ISERROR((R988*AB988)),0,(R988*AB988))</f>
        <v>489600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626688</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698170</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64</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26059914</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63</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0.46</v>
      </c>
      <c r="AZ1006" s="34"/>
      <c r="BB1006" s="34"/>
    </row>
    <row r="1007" spans="1:55" ht="12.95"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5"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669</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80000</v>
      </c>
      <c r="BB1038" s="1183" t="s">
        <v>2490</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0.46031746031746029</v>
      </c>
      <c r="BB1039" s="3" t="s">
        <v>2494</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No</v>
      </c>
      <c r="AH1045" s="1574"/>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1289041.95</v>
      </c>
      <c r="BA1046" s="1182">
        <f>IF(BA1040,20%,15%)</f>
        <v>0.15</v>
      </c>
      <c r="BB1046" s="3" t="s">
        <v>2480</v>
      </c>
      <c r="BC1046" s="3" t="s">
        <v>2481</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1">
        <f>AY1003</f>
        <v>63</v>
      </c>
      <c r="J1048" s="1572"/>
      <c r="K1048" s="7"/>
      <c r="L1048" s="133"/>
      <c r="M1048" s="133"/>
      <c r="N1048" s="133"/>
      <c r="O1048" s="133"/>
      <c r="P1048" s="133"/>
      <c r="Q1048" s="133"/>
      <c r="R1048" s="133"/>
      <c r="S1048" s="133"/>
      <c r="T1048" s="133"/>
      <c r="U1048" s="133"/>
      <c r="V1048" s="134" t="s">
        <v>973</v>
      </c>
      <c r="W1048" s="48"/>
      <c r="X1048" s="1569">
        <f>CI753</f>
        <v>0</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197138.85</v>
      </c>
      <c r="BA1048" s="1182" cm="1">
        <f t="array" ref="BA1048">_xlfn.IFS(X180="Yes",5%,$BA$1038&gt;50000,15%,BA1039&gt;=30%,15%,TRUE,5%)</f>
        <v>0.05</v>
      </c>
      <c r="BB1048" s="3" t="s">
        <v>2480</v>
      </c>
      <c r="BC1048" s="3" t="s">
        <v>2483</v>
      </c>
      <c r="BD1048" s="3"/>
    </row>
    <row r="1049" spans="1:56" ht="12.95"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23975120.880000003</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1486180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1">
        <f>AY1003</f>
        <v>63</v>
      </c>
      <c r="J1052" s="1572"/>
      <c r="K1052" s="14"/>
      <c r="L1052" s="133"/>
      <c r="M1052" s="133"/>
      <c r="N1052" s="133"/>
      <c r="O1052" s="133"/>
      <c r="P1052" s="133"/>
      <c r="Q1052" s="133"/>
      <c r="R1052" s="133"/>
      <c r="S1052" s="133"/>
      <c r="T1052" s="133"/>
      <c r="U1052" s="133"/>
      <c r="V1052" s="134" t="s">
        <v>974</v>
      </c>
      <c r="X1052" s="1569">
        <f>CM753</f>
        <v>29</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50035034.880000003</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1486180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14320596</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1486180.8</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0.53808964987374863</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1784206</v>
      </c>
      <c r="BB1058" s="3" t="s">
        <v>2495</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298026</v>
      </c>
      <c r="BB1059" s="3" t="s">
        <v>2496</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5" zoomScale="90" zoomScaleNormal="90" workbookViewId="0">
      <selection activeCell="S46" sqref="S4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2)California Bank &amp; Trust</v>
      </c>
      <c r="H2" s="139" t="str">
        <f>Application!B629&amp;Application!C629</f>
        <v>3)USDA RD 515 Assumption</v>
      </c>
      <c r="I2" s="139" t="str">
        <f>Application!B630&amp;Application!C630</f>
        <v>4)Existing Reserves</v>
      </c>
      <c r="J2" s="139" t="str">
        <f>Application!B631&amp;Application!C631</f>
        <v>5)NOI</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907223</v>
      </c>
      <c r="C4" s="147">
        <v>907223</v>
      </c>
      <c r="D4" s="147"/>
      <c r="E4" s="147"/>
      <c r="F4" s="147"/>
      <c r="G4" s="147"/>
      <c r="H4" s="147">
        <f>C4</f>
        <v>907223</v>
      </c>
      <c r="I4" s="147"/>
      <c r="J4" s="147"/>
      <c r="K4" s="147"/>
      <c r="L4" s="147"/>
      <c r="M4" s="147"/>
      <c r="N4" s="147"/>
      <c r="O4" s="147"/>
      <c r="P4" s="147"/>
      <c r="Q4" s="147"/>
      <c r="R4" s="516">
        <f>SUM(E4:Q4)</f>
        <v>907223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907223</v>
      </c>
      <c r="C8" s="146">
        <f t="shared" ref="C8:Q8" si="0">SUM(C4:C7)</f>
        <v>907223</v>
      </c>
      <c r="D8" s="146">
        <f t="shared" si="0"/>
        <v>0</v>
      </c>
      <c r="E8" s="146">
        <f t="shared" si="0"/>
        <v>0</v>
      </c>
      <c r="F8" s="146">
        <f t="shared" si="0"/>
        <v>0</v>
      </c>
      <c r="G8" s="146">
        <f t="shared" si="0"/>
        <v>0</v>
      </c>
      <c r="H8" s="146">
        <f t="shared" si="0"/>
        <v>907223</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907223</v>
      </c>
      <c r="S8" s="148"/>
      <c r="T8" s="148"/>
      <c r="U8" s="143"/>
    </row>
    <row r="9" spans="1:21" s="144" customFormat="1">
      <c r="A9" s="145" t="s">
        <v>594</v>
      </c>
      <c r="B9" s="146">
        <f>SUM(C9+D9)</f>
        <v>4424260</v>
      </c>
      <c r="C9" s="147">
        <v>4424260</v>
      </c>
      <c r="D9" s="147"/>
      <c r="E9" s="147"/>
      <c r="F9" s="147">
        <f>C9-H9-I9</f>
        <v>2507932</v>
      </c>
      <c r="G9" s="147"/>
      <c r="H9" s="147">
        <f>2342068-H4</f>
        <v>1434845</v>
      </c>
      <c r="I9" s="147">
        <v>481483</v>
      </c>
      <c r="J9" s="147"/>
      <c r="K9" s="147"/>
      <c r="L9" s="147"/>
      <c r="M9" s="147"/>
      <c r="N9" s="147"/>
      <c r="O9" s="147"/>
      <c r="P9" s="147"/>
      <c r="Q9" s="147"/>
      <c r="R9" s="516">
        <f>SUM(E9:Q9)</f>
        <v>4424260</v>
      </c>
      <c r="S9" s="148"/>
      <c r="T9" s="147">
        <v>3942777</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4424260</v>
      </c>
      <c r="C11" s="146">
        <f t="shared" ref="C11:Q11" si="1">SUM(C9:C10)</f>
        <v>4424260</v>
      </c>
      <c r="D11" s="146">
        <f t="shared" si="1"/>
        <v>0</v>
      </c>
      <c r="E11" s="146">
        <f t="shared" si="1"/>
        <v>0</v>
      </c>
      <c r="F11" s="146">
        <f t="shared" si="1"/>
        <v>2507932</v>
      </c>
      <c r="G11" s="146">
        <f t="shared" si="1"/>
        <v>0</v>
      </c>
      <c r="H11" s="146">
        <f t="shared" si="1"/>
        <v>1434845</v>
      </c>
      <c r="I11" s="146">
        <f t="shared" si="1"/>
        <v>481483</v>
      </c>
      <c r="J11" s="146">
        <f t="shared" si="1"/>
        <v>0</v>
      </c>
      <c r="K11" s="146">
        <f t="shared" si="1"/>
        <v>0</v>
      </c>
      <c r="L11" s="146">
        <f t="shared" si="1"/>
        <v>0</v>
      </c>
      <c r="M11" s="146">
        <f t="shared" si="1"/>
        <v>0</v>
      </c>
      <c r="N11" s="146">
        <f t="shared" si="1"/>
        <v>0</v>
      </c>
      <c r="O11" s="146">
        <f t="shared" si="1"/>
        <v>0</v>
      </c>
      <c r="P11" s="146"/>
      <c r="Q11" s="146">
        <f t="shared" si="1"/>
        <v>0</v>
      </c>
      <c r="R11" s="342">
        <f>SUM(R9:R10)</f>
        <v>4424260</v>
      </c>
      <c r="S11" s="148"/>
      <c r="T11" s="150">
        <f>SUM(T9:T10)</f>
        <v>3942777</v>
      </c>
      <c r="U11" s="143"/>
    </row>
    <row r="12" spans="1:21" s="144" customFormat="1">
      <c r="A12" s="149" t="s">
        <v>84</v>
      </c>
      <c r="B12" s="146">
        <f t="shared" ref="B12:Q12" si="2">SUM(B8+B11)</f>
        <v>5331483</v>
      </c>
      <c r="C12" s="146">
        <f t="shared" si="2"/>
        <v>5331483</v>
      </c>
      <c r="D12" s="146">
        <f t="shared" si="2"/>
        <v>0</v>
      </c>
      <c r="E12" s="146">
        <f t="shared" si="2"/>
        <v>0</v>
      </c>
      <c r="F12" s="146">
        <f t="shared" si="2"/>
        <v>2507932</v>
      </c>
      <c r="G12" s="146">
        <f t="shared" si="2"/>
        <v>0</v>
      </c>
      <c r="H12" s="146">
        <f t="shared" si="2"/>
        <v>2342068</v>
      </c>
      <c r="I12" s="146">
        <f t="shared" si="2"/>
        <v>481483</v>
      </c>
      <c r="J12" s="146">
        <f t="shared" si="2"/>
        <v>0</v>
      </c>
      <c r="K12" s="146">
        <f t="shared" si="2"/>
        <v>0</v>
      </c>
      <c r="L12" s="146">
        <f t="shared" si="2"/>
        <v>0</v>
      </c>
      <c r="M12" s="146">
        <f t="shared" si="2"/>
        <v>0</v>
      </c>
      <c r="N12" s="146">
        <f t="shared" si="2"/>
        <v>0</v>
      </c>
      <c r="O12" s="146">
        <f t="shared" si="2"/>
        <v>0</v>
      </c>
      <c r="P12" s="146"/>
      <c r="Q12" s="146">
        <f t="shared" si="2"/>
        <v>0</v>
      </c>
      <c r="R12" s="342">
        <f>SUM(R8+R11)</f>
        <v>5331483</v>
      </c>
      <c r="S12" s="148"/>
      <c r="T12" s="148"/>
      <c r="U12" s="143"/>
    </row>
    <row r="13" spans="1:21" s="144" customFormat="1">
      <c r="A13" s="287" t="s">
        <v>902</v>
      </c>
      <c r="B13" s="146">
        <f>SUM(C13+D13)</f>
        <v>5000</v>
      </c>
      <c r="C13" s="147">
        <v>5000</v>
      </c>
      <c r="D13" s="147"/>
      <c r="E13" s="147">
        <v>5000</v>
      </c>
      <c r="F13" s="147"/>
      <c r="G13" s="147"/>
      <c r="H13" s="147"/>
      <c r="I13" s="147"/>
      <c r="J13" s="147"/>
      <c r="K13" s="147"/>
      <c r="L13" s="147"/>
      <c r="M13" s="147"/>
      <c r="N13" s="147"/>
      <c r="O13" s="147"/>
      <c r="P13" s="147"/>
      <c r="Q13" s="147"/>
      <c r="R13" s="516">
        <f>SUM(E13:Q13)</f>
        <v>5000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5120000</v>
      </c>
      <c r="C18" s="147">
        <v>5120000</v>
      </c>
      <c r="D18" s="147"/>
      <c r="E18" s="147"/>
      <c r="F18" s="147">
        <f>C18</f>
        <v>5120000</v>
      </c>
      <c r="G18" s="147"/>
      <c r="H18" s="147"/>
      <c r="I18" s="147"/>
      <c r="J18" s="147"/>
      <c r="K18" s="147"/>
      <c r="L18" s="147"/>
      <c r="M18" s="147"/>
      <c r="N18" s="147"/>
      <c r="O18" s="147"/>
      <c r="P18" s="147"/>
      <c r="Q18" s="147"/>
      <c r="R18" s="516">
        <f>SUM(E18:Q18)</f>
        <v>5120000</v>
      </c>
      <c r="S18" s="147">
        <f>R18</f>
        <v>5120000</v>
      </c>
      <c r="T18" s="147"/>
      <c r="U18" s="143"/>
    </row>
    <row r="19" spans="1:21" s="144" customFormat="1">
      <c r="A19" s="145" t="s">
        <v>600</v>
      </c>
      <c r="B19" s="146">
        <f t="shared" si="3"/>
        <v>307200</v>
      </c>
      <c r="C19" s="147">
        <v>307200</v>
      </c>
      <c r="D19" s="147"/>
      <c r="E19" s="147"/>
      <c r="F19" s="147">
        <v>122068</v>
      </c>
      <c r="G19" s="147">
        <f>C19-F19</f>
        <v>185132</v>
      </c>
      <c r="H19" s="147"/>
      <c r="I19" s="147"/>
      <c r="J19" s="147"/>
      <c r="K19" s="147"/>
      <c r="L19" s="147"/>
      <c r="M19" s="147"/>
      <c r="N19" s="147"/>
      <c r="O19" s="147"/>
      <c r="P19" s="147"/>
      <c r="Q19" s="147"/>
      <c r="R19" s="516">
        <f>SUM(E19:Q19)</f>
        <v>307200</v>
      </c>
      <c r="S19" s="147">
        <f t="shared" ref="S19:S25" si="4">R19</f>
        <v>307200</v>
      </c>
      <c r="T19" s="147"/>
      <c r="U19" s="143"/>
    </row>
    <row r="20" spans="1:21" s="144" customFormat="1">
      <c r="A20" s="145" t="s">
        <v>137</v>
      </c>
      <c r="B20" s="146">
        <f t="shared" si="3"/>
        <v>307200</v>
      </c>
      <c r="C20" s="147">
        <v>307200</v>
      </c>
      <c r="D20" s="147"/>
      <c r="E20" s="147"/>
      <c r="F20" s="147"/>
      <c r="G20" s="147">
        <f>C20</f>
        <v>307200</v>
      </c>
      <c r="H20" s="147"/>
      <c r="I20" s="147"/>
      <c r="J20" s="147"/>
      <c r="K20" s="147"/>
      <c r="L20" s="147"/>
      <c r="M20" s="147"/>
      <c r="N20" s="147"/>
      <c r="O20" s="147"/>
      <c r="P20" s="147"/>
      <c r="Q20" s="147"/>
      <c r="R20" s="516">
        <f t="shared" ref="R20:R27" si="5">SUM(E20:Q20)</f>
        <v>307200</v>
      </c>
      <c r="S20" s="147">
        <f t="shared" si="4"/>
        <v>307200</v>
      </c>
      <c r="T20" s="147"/>
      <c r="U20" s="143"/>
    </row>
    <row r="21" spans="1:21" s="144" customFormat="1">
      <c r="A21" s="145" t="s">
        <v>138</v>
      </c>
      <c r="B21" s="146">
        <f t="shared" si="3"/>
        <v>102400</v>
      </c>
      <c r="C21" s="147">
        <v>102400</v>
      </c>
      <c r="D21" s="147"/>
      <c r="E21" s="147"/>
      <c r="F21" s="147"/>
      <c r="G21" s="147">
        <f t="shared" ref="G21:G25" si="6">C21</f>
        <v>102400</v>
      </c>
      <c r="H21" s="147"/>
      <c r="I21" s="147"/>
      <c r="J21" s="147"/>
      <c r="K21" s="147"/>
      <c r="L21" s="147"/>
      <c r="M21" s="147"/>
      <c r="N21" s="147"/>
      <c r="O21" s="147"/>
      <c r="P21" s="147"/>
      <c r="Q21" s="147"/>
      <c r="R21" s="516">
        <f t="shared" si="5"/>
        <v>102400</v>
      </c>
      <c r="S21" s="147">
        <f t="shared" si="4"/>
        <v>102400</v>
      </c>
      <c r="T21" s="147"/>
      <c r="U21" s="143"/>
    </row>
    <row r="22" spans="1:21" s="144" customFormat="1">
      <c r="A22" s="145" t="s">
        <v>139</v>
      </c>
      <c r="B22" s="146">
        <f t="shared" si="3"/>
        <v>0</v>
      </c>
      <c r="C22" s="147"/>
      <c r="D22" s="147"/>
      <c r="E22" s="147"/>
      <c r="F22" s="147"/>
      <c r="G22" s="147">
        <f t="shared" si="6"/>
        <v>0</v>
      </c>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64000</v>
      </c>
      <c r="C23" s="147">
        <v>64000</v>
      </c>
      <c r="D23" s="147"/>
      <c r="E23" s="147"/>
      <c r="F23" s="147"/>
      <c r="G23" s="147">
        <f t="shared" si="6"/>
        <v>64000</v>
      </c>
      <c r="H23" s="147"/>
      <c r="I23" s="147"/>
      <c r="J23" s="147"/>
      <c r="K23" s="147"/>
      <c r="L23" s="147"/>
      <c r="M23" s="147"/>
      <c r="N23" s="147"/>
      <c r="O23" s="147"/>
      <c r="P23" s="147"/>
      <c r="Q23" s="147"/>
      <c r="R23" s="516">
        <f t="shared" si="5"/>
        <v>64000</v>
      </c>
      <c r="S23" s="147">
        <f t="shared" si="4"/>
        <v>64000</v>
      </c>
      <c r="T23" s="147"/>
      <c r="U23" s="143"/>
    </row>
    <row r="24" spans="1:21" s="144" customFormat="1">
      <c r="A24" s="508" t="s">
        <v>1640</v>
      </c>
      <c r="B24" s="146">
        <f t="shared" si="3"/>
        <v>35000</v>
      </c>
      <c r="C24" s="147">
        <v>35000</v>
      </c>
      <c r="D24" s="147"/>
      <c r="E24" s="147"/>
      <c r="F24" s="147"/>
      <c r="G24" s="147">
        <f t="shared" si="6"/>
        <v>35000</v>
      </c>
      <c r="H24" s="147"/>
      <c r="I24" s="147"/>
      <c r="J24" s="147"/>
      <c r="K24" s="147"/>
      <c r="L24" s="147"/>
      <c r="M24" s="147"/>
      <c r="N24" s="147"/>
      <c r="O24" s="147"/>
      <c r="P24" s="147"/>
      <c r="Q24" s="147"/>
      <c r="R24" s="516">
        <f t="shared" si="5"/>
        <v>35000</v>
      </c>
      <c r="S24" s="147">
        <f t="shared" si="4"/>
        <v>35000</v>
      </c>
      <c r="T24" s="147"/>
      <c r="U24" s="143"/>
    </row>
    <row r="25" spans="1:21" s="144" customFormat="1">
      <c r="A25" s="1149" t="s">
        <v>2745</v>
      </c>
      <c r="B25" s="146">
        <f t="shared" si="3"/>
        <v>89000</v>
      </c>
      <c r="C25" s="147">
        <f>64000+25000</f>
        <v>89000</v>
      </c>
      <c r="D25" s="147"/>
      <c r="E25" s="147"/>
      <c r="F25" s="147"/>
      <c r="G25" s="147">
        <f t="shared" si="6"/>
        <v>89000</v>
      </c>
      <c r="H25" s="147"/>
      <c r="I25" s="147"/>
      <c r="J25" s="147"/>
      <c r="K25" s="147"/>
      <c r="L25" s="147"/>
      <c r="M25" s="147"/>
      <c r="N25" s="147"/>
      <c r="O25" s="147"/>
      <c r="P25" s="147"/>
      <c r="Q25" s="147"/>
      <c r="R25" s="516">
        <f t="shared" si="5"/>
        <v>89000</v>
      </c>
      <c r="S25" s="147">
        <f t="shared" si="4"/>
        <v>89000</v>
      </c>
      <c r="T25" s="147"/>
      <c r="U25" s="143"/>
    </row>
    <row r="26" spans="1:21" s="144" customFormat="1">
      <c r="A26" s="149" t="s">
        <v>133</v>
      </c>
      <c r="B26" s="146">
        <f t="shared" si="3"/>
        <v>6024800</v>
      </c>
      <c r="C26" s="146">
        <f>SUM(C17:C25)</f>
        <v>6024800</v>
      </c>
      <c r="D26" s="146">
        <f t="shared" ref="D26:Q26" si="7">SUM(D17:D25)</f>
        <v>0</v>
      </c>
      <c r="E26" s="146">
        <f t="shared" si="7"/>
        <v>0</v>
      </c>
      <c r="F26" s="146">
        <f t="shared" si="7"/>
        <v>5242068</v>
      </c>
      <c r="G26" s="146">
        <f t="shared" si="7"/>
        <v>782732</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6024800</v>
      </c>
      <c r="S26" s="150">
        <f>SUM(S17:S25)</f>
        <v>6024800</v>
      </c>
      <c r="T26" s="150">
        <f>SUM(T17:T25)</f>
        <v>0</v>
      </c>
      <c r="U26" s="143"/>
    </row>
    <row r="27" spans="1:21" s="144" customFormat="1">
      <c r="A27" s="149" t="s">
        <v>141</v>
      </c>
      <c r="B27" s="146">
        <f>SUM(C27:D27)</f>
        <v>192000</v>
      </c>
      <c r="C27" s="147">
        <v>192000</v>
      </c>
      <c r="D27" s="147"/>
      <c r="E27" s="147">
        <f>C27</f>
        <v>192000</v>
      </c>
      <c r="F27" s="147"/>
      <c r="G27" s="147"/>
      <c r="H27" s="147"/>
      <c r="I27" s="147"/>
      <c r="J27" s="147"/>
      <c r="K27" s="147"/>
      <c r="L27" s="147"/>
      <c r="M27" s="147"/>
      <c r="N27" s="147"/>
      <c r="O27" s="147"/>
      <c r="P27" s="147"/>
      <c r="Q27" s="147"/>
      <c r="R27" s="516">
        <f t="shared" si="5"/>
        <v>192000</v>
      </c>
      <c r="S27" s="147">
        <f>R27</f>
        <v>192000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v>
      </c>
      <c r="C40" s="147">
        <v>120000</v>
      </c>
      <c r="D40" s="147"/>
      <c r="E40" s="147"/>
      <c r="F40" s="147"/>
      <c r="G40" s="147">
        <f>C40</f>
        <v>120000</v>
      </c>
      <c r="H40" s="147"/>
      <c r="I40" s="147"/>
      <c r="J40" s="147"/>
      <c r="K40" s="147"/>
      <c r="L40" s="147"/>
      <c r="M40" s="147"/>
      <c r="N40" s="147"/>
      <c r="O40" s="147"/>
      <c r="P40" s="147"/>
      <c r="Q40" s="147"/>
      <c r="R40" s="516">
        <f>SUM(E40:Q40)</f>
        <v>120000</v>
      </c>
      <c r="S40" s="147">
        <f>R40</f>
        <v>120000</v>
      </c>
      <c r="T40" s="147"/>
      <c r="U40" s="143"/>
    </row>
    <row r="41" spans="1:21" s="144" customFormat="1">
      <c r="A41" s="145" t="s">
        <v>146</v>
      </c>
      <c r="B41" s="146">
        <f>SUM(C41+D41)</f>
        <v>30000</v>
      </c>
      <c r="C41" s="147">
        <v>30000</v>
      </c>
      <c r="D41" s="147"/>
      <c r="E41" s="147"/>
      <c r="F41" s="147"/>
      <c r="G41" s="147">
        <f>C41</f>
        <v>30000</v>
      </c>
      <c r="H41" s="147"/>
      <c r="I41" s="147"/>
      <c r="J41" s="147"/>
      <c r="K41" s="147"/>
      <c r="L41" s="147"/>
      <c r="M41" s="147"/>
      <c r="N41" s="147"/>
      <c r="O41" s="147"/>
      <c r="P41" s="147"/>
      <c r="Q41" s="147"/>
      <c r="R41" s="516">
        <f>SUM(E41:Q41)</f>
        <v>30000</v>
      </c>
      <c r="S41" s="147">
        <f>R41</f>
        <v>30000</v>
      </c>
      <c r="T41" s="147"/>
      <c r="U41" s="143"/>
    </row>
    <row r="42" spans="1:21" s="144" customFormat="1">
      <c r="A42" s="149" t="s">
        <v>147</v>
      </c>
      <c r="B42" s="146">
        <f>SUM(C42:D42)</f>
        <v>150000</v>
      </c>
      <c r="C42" s="146">
        <f>SUM(C39:C41)</f>
        <v>150000</v>
      </c>
      <c r="D42" s="146">
        <f>SUM(D39:D41)</f>
        <v>0</v>
      </c>
      <c r="E42" s="146">
        <f t="shared" ref="E42:T42" si="11">SUM(E40:E41)</f>
        <v>0</v>
      </c>
      <c r="F42" s="146">
        <f t="shared" si="11"/>
        <v>0</v>
      </c>
      <c r="G42" s="146">
        <f t="shared" si="11"/>
        <v>150000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150000</v>
      </c>
      <c r="S42" s="150">
        <f t="shared" si="11"/>
        <v>150000</v>
      </c>
      <c r="T42" s="150">
        <f t="shared" si="11"/>
        <v>0</v>
      </c>
      <c r="U42" s="143"/>
    </row>
    <row r="43" spans="1:21" s="144" customFormat="1">
      <c r="A43" s="149" t="s">
        <v>148</v>
      </c>
      <c r="B43" s="146">
        <f>SUM(C43:D43)</f>
        <v>98683</v>
      </c>
      <c r="C43" s="147">
        <f>53683+45000</f>
        <v>98683</v>
      </c>
      <c r="D43" s="147"/>
      <c r="E43" s="147"/>
      <c r="F43" s="147"/>
      <c r="G43" s="147">
        <f>C43</f>
        <v>98683</v>
      </c>
      <c r="H43" s="147"/>
      <c r="I43" s="147"/>
      <c r="J43" s="147"/>
      <c r="K43" s="147"/>
      <c r="L43" s="147"/>
      <c r="M43" s="147"/>
      <c r="N43" s="147"/>
      <c r="O43" s="147"/>
      <c r="P43" s="147"/>
      <c r="Q43" s="147"/>
      <c r="R43" s="516">
        <f>SUM(E43:Q43)</f>
        <v>98683</v>
      </c>
      <c r="S43" s="147">
        <f>R43</f>
        <v>98683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728213</v>
      </c>
      <c r="C45" s="147">
        <f>573126+53640+106447-5000</f>
        <v>728213</v>
      </c>
      <c r="D45" s="147"/>
      <c r="E45" s="147">
        <f>C45-G45-J45</f>
        <v>425113</v>
      </c>
      <c r="F45" s="147"/>
      <c r="G45" s="147">
        <v>218585</v>
      </c>
      <c r="H45" s="147"/>
      <c r="I45" s="147"/>
      <c r="J45" s="147">
        <v>84515</v>
      </c>
      <c r="K45" s="147"/>
      <c r="L45" s="147"/>
      <c r="M45" s="147"/>
      <c r="N45" s="147"/>
      <c r="O45" s="147"/>
      <c r="P45" s="147"/>
      <c r="Q45" s="147"/>
      <c r="R45" s="516">
        <f t="shared" ref="R45:R53" si="13">SUM(E45:Q45)</f>
        <v>728213</v>
      </c>
      <c r="S45" s="147">
        <f>241355+39056+12447+5000</f>
        <v>297858</v>
      </c>
      <c r="T45" s="147"/>
      <c r="U45" s="143"/>
    </row>
    <row r="46" spans="1:21" s="144" customFormat="1">
      <c r="A46" s="145" t="s">
        <v>151</v>
      </c>
      <c r="B46" s="146">
        <f t="shared" si="12"/>
        <v>76500</v>
      </c>
      <c r="C46" s="147">
        <v>76500</v>
      </c>
      <c r="D46" s="147"/>
      <c r="E46" s="147">
        <f t="shared" ref="E46:E48" si="14">C46-G46-J46</f>
        <v>76500</v>
      </c>
      <c r="F46" s="147"/>
      <c r="G46" s="147"/>
      <c r="H46" s="147"/>
      <c r="I46" s="147"/>
      <c r="J46" s="147"/>
      <c r="K46" s="147"/>
      <c r="L46" s="147"/>
      <c r="M46" s="147"/>
      <c r="N46" s="147"/>
      <c r="O46" s="147"/>
      <c r="P46" s="147"/>
      <c r="Q46" s="147"/>
      <c r="R46" s="516">
        <f t="shared" si="13"/>
        <v>76500</v>
      </c>
      <c r="S46" s="147">
        <f t="shared" ref="S46:S52" si="15">R46</f>
        <v>76500</v>
      </c>
      <c r="T46" s="147"/>
      <c r="U46" s="143"/>
    </row>
    <row r="47" spans="1:21" s="144" customFormat="1">
      <c r="A47" s="186" t="s">
        <v>152</v>
      </c>
      <c r="B47" s="146">
        <f t="shared" si="12"/>
        <v>180000</v>
      </c>
      <c r="C47" s="147">
        <f>155000+25000</f>
        <v>180000</v>
      </c>
      <c r="D47" s="147"/>
      <c r="E47" s="147">
        <f t="shared" si="14"/>
        <v>180000</v>
      </c>
      <c r="F47" s="147"/>
      <c r="G47" s="147"/>
      <c r="H47" s="147"/>
      <c r="I47" s="147"/>
      <c r="J47" s="147"/>
      <c r="K47" s="147"/>
      <c r="L47" s="147"/>
      <c r="M47" s="147"/>
      <c r="N47" s="147"/>
      <c r="O47" s="147"/>
      <c r="P47" s="147"/>
      <c r="Q47" s="147"/>
      <c r="R47" s="516">
        <f t="shared" si="13"/>
        <v>180000</v>
      </c>
      <c r="S47" s="147">
        <f t="shared" si="15"/>
        <v>180000</v>
      </c>
      <c r="T47" s="147"/>
      <c r="U47" s="143"/>
    </row>
    <row r="48" spans="1:21" s="144" customFormat="1">
      <c r="A48" s="145" t="s">
        <v>153</v>
      </c>
      <c r="B48" s="146">
        <f t="shared" si="12"/>
        <v>194696</v>
      </c>
      <c r="C48" s="147">
        <f>219696-25000</f>
        <v>194696</v>
      </c>
      <c r="D48" s="147"/>
      <c r="E48" s="147">
        <f t="shared" si="14"/>
        <v>194696</v>
      </c>
      <c r="F48" s="147"/>
      <c r="G48" s="147"/>
      <c r="H48" s="147"/>
      <c r="I48" s="147"/>
      <c r="J48" s="147"/>
      <c r="K48" s="147"/>
      <c r="L48" s="147"/>
      <c r="M48" s="147"/>
      <c r="N48" s="147"/>
      <c r="O48" s="147"/>
      <c r="P48" s="147"/>
      <c r="Q48" s="147"/>
      <c r="R48" s="516">
        <f t="shared" si="13"/>
        <v>194696</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6">
        <f t="shared" si="13"/>
        <v>0</v>
      </c>
      <c r="S49" s="147"/>
      <c r="T49" s="147"/>
      <c r="U49" s="143"/>
    </row>
    <row r="50" spans="1:21" s="144" customFormat="1">
      <c r="A50" s="145" t="s">
        <v>156</v>
      </c>
      <c r="B50" s="146">
        <f t="shared" si="12"/>
        <v>175000</v>
      </c>
      <c r="C50" s="147">
        <v>175000</v>
      </c>
      <c r="D50" s="147"/>
      <c r="E50" s="147">
        <f>C50</f>
        <v>175000</v>
      </c>
      <c r="F50" s="147"/>
      <c r="G50" s="147"/>
      <c r="H50" s="147"/>
      <c r="I50" s="147"/>
      <c r="J50" s="147"/>
      <c r="K50" s="147"/>
      <c r="L50" s="147"/>
      <c r="M50" s="147"/>
      <c r="N50" s="147"/>
      <c r="O50" s="147"/>
      <c r="P50" s="147"/>
      <c r="Q50" s="147"/>
      <c r="R50" s="516">
        <f t="shared" si="13"/>
        <v>175000</v>
      </c>
      <c r="S50" s="147">
        <f t="shared" si="15"/>
        <v>175000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30791</v>
      </c>
      <c r="C52" s="147">
        <v>30791</v>
      </c>
      <c r="D52" s="147"/>
      <c r="E52" s="147">
        <f>C52</f>
        <v>30791</v>
      </c>
      <c r="F52" s="147"/>
      <c r="G52" s="147"/>
      <c r="H52" s="147"/>
      <c r="I52" s="147"/>
      <c r="J52" s="147"/>
      <c r="K52" s="147"/>
      <c r="L52" s="147"/>
      <c r="M52" s="147"/>
      <c r="N52" s="147"/>
      <c r="O52" s="147"/>
      <c r="P52" s="147"/>
      <c r="Q52" s="147"/>
      <c r="R52" s="516">
        <f t="shared" si="13"/>
        <v>30791</v>
      </c>
      <c r="S52" s="147">
        <f t="shared" si="15"/>
        <v>30791</v>
      </c>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1385200</v>
      </c>
      <c r="C54" s="150">
        <f t="shared" ref="C54:T54" si="16">SUM(C45:C53)</f>
        <v>1385200</v>
      </c>
      <c r="D54" s="150">
        <f t="shared" si="16"/>
        <v>0</v>
      </c>
      <c r="E54" s="150">
        <f t="shared" si="16"/>
        <v>1082100</v>
      </c>
      <c r="F54" s="150">
        <f t="shared" si="16"/>
        <v>0</v>
      </c>
      <c r="G54" s="150">
        <f t="shared" si="16"/>
        <v>218585</v>
      </c>
      <c r="H54" s="150">
        <f t="shared" si="16"/>
        <v>0</v>
      </c>
      <c r="I54" s="150">
        <f t="shared" si="16"/>
        <v>0</v>
      </c>
      <c r="J54" s="150">
        <f t="shared" si="16"/>
        <v>84515</v>
      </c>
      <c r="K54" s="150">
        <f t="shared" si="16"/>
        <v>0</v>
      </c>
      <c r="L54" s="150">
        <f t="shared" si="16"/>
        <v>0</v>
      </c>
      <c r="M54" s="150">
        <f t="shared" si="16"/>
        <v>0</v>
      </c>
      <c r="N54" s="150">
        <f t="shared" si="16"/>
        <v>0</v>
      </c>
      <c r="O54" s="150">
        <f t="shared" si="16"/>
        <v>0</v>
      </c>
      <c r="P54" s="150">
        <f t="shared" si="16"/>
        <v>0</v>
      </c>
      <c r="Q54" s="150">
        <f t="shared" si="16"/>
        <v>0</v>
      </c>
      <c r="R54" s="342">
        <f t="shared" si="16"/>
        <v>1385200</v>
      </c>
      <c r="S54" s="150">
        <f t="shared" si="16"/>
        <v>760149</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56710</v>
      </c>
      <c r="C56" s="147">
        <v>56710</v>
      </c>
      <c r="D56" s="147"/>
      <c r="E56" s="147">
        <f>C56</f>
        <v>56710</v>
      </c>
      <c r="F56" s="147"/>
      <c r="G56" s="147"/>
      <c r="H56" s="147"/>
      <c r="I56" s="147"/>
      <c r="J56" s="147"/>
      <c r="K56" s="147"/>
      <c r="L56" s="147"/>
      <c r="M56" s="147"/>
      <c r="N56" s="147"/>
      <c r="O56" s="147"/>
      <c r="P56" s="147"/>
      <c r="Q56" s="147"/>
      <c r="R56" s="516">
        <f t="shared" ref="R56:R61" si="18">SUM(E56:Q56)</f>
        <v>56710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56710</v>
      </c>
      <c r="C62" s="146">
        <f t="shared" ref="C62:R62" si="19">SUM(C56:C61)</f>
        <v>56710</v>
      </c>
      <c r="D62" s="146">
        <f t="shared" si="19"/>
        <v>0</v>
      </c>
      <c r="E62" s="146">
        <f t="shared" si="19"/>
        <v>56710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56710</v>
      </c>
      <c r="S62" s="148"/>
      <c r="T62" s="148"/>
      <c r="U62" s="143"/>
    </row>
    <row r="63" spans="1:21" s="144" customFormat="1">
      <c r="A63" s="154" t="s">
        <v>302</v>
      </c>
      <c r="B63" s="146">
        <f t="shared" ref="B63:R63" si="20">SUM(B8+B11+B13+B14+B15+B26+B27+B38+B42+B43+B54+B62)</f>
        <v>13243876</v>
      </c>
      <c r="C63" s="146">
        <f t="shared" si="20"/>
        <v>13243876</v>
      </c>
      <c r="D63" s="146">
        <f t="shared" si="20"/>
        <v>0</v>
      </c>
      <c r="E63" s="146">
        <f t="shared" si="20"/>
        <v>1335810</v>
      </c>
      <c r="F63" s="146">
        <f t="shared" si="20"/>
        <v>7750000</v>
      </c>
      <c r="G63" s="146">
        <f t="shared" si="20"/>
        <v>1250000</v>
      </c>
      <c r="H63" s="146">
        <f t="shared" si="20"/>
        <v>2342068</v>
      </c>
      <c r="I63" s="146">
        <f t="shared" si="20"/>
        <v>481483</v>
      </c>
      <c r="J63" s="146">
        <f t="shared" si="20"/>
        <v>84515</v>
      </c>
      <c r="K63" s="146">
        <f t="shared" si="20"/>
        <v>0</v>
      </c>
      <c r="L63" s="146">
        <f t="shared" si="20"/>
        <v>0</v>
      </c>
      <c r="M63" s="146">
        <f t="shared" si="20"/>
        <v>0</v>
      </c>
      <c r="N63" s="146">
        <f t="shared" si="20"/>
        <v>0</v>
      </c>
      <c r="O63" s="146">
        <f t="shared" si="20"/>
        <v>0</v>
      </c>
      <c r="P63" s="146">
        <f t="shared" si="20"/>
        <v>0</v>
      </c>
      <c r="Q63" s="146">
        <f t="shared" si="20"/>
        <v>0</v>
      </c>
      <c r="R63" s="342">
        <f t="shared" si="20"/>
        <v>13243876</v>
      </c>
      <c r="S63" s="146">
        <f>SUM(S10+S13+S14+S15+S26+S27+S38+S42+S43+S54)</f>
        <v>7225632</v>
      </c>
      <c r="T63" s="146">
        <f>SUM(T11+T13+T14+T15+T26+T27+T38+T42+T43+T54)</f>
        <v>3942777</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f>150000+25000</f>
        <v>175000</v>
      </c>
      <c r="D65" s="147"/>
      <c r="E65" s="147">
        <f>C65</f>
        <v>175000</v>
      </c>
      <c r="F65" s="147"/>
      <c r="G65" s="147"/>
      <c r="H65" s="147"/>
      <c r="I65" s="147"/>
      <c r="J65" s="147"/>
      <c r="K65" s="147"/>
      <c r="L65" s="147"/>
      <c r="M65" s="147"/>
      <c r="N65" s="147"/>
      <c r="O65" s="147"/>
      <c r="P65" s="147"/>
      <c r="Q65" s="147"/>
      <c r="R65" s="516">
        <f>SUM(E65:Q65)</f>
        <v>175000</v>
      </c>
      <c r="S65" s="147">
        <v>125000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175000</v>
      </c>
      <c r="C70" s="146">
        <f>SUM(C65:C69)</f>
        <v>175000</v>
      </c>
      <c r="D70" s="146">
        <f>SUM(D65:D69)</f>
        <v>0</v>
      </c>
      <c r="E70" s="146">
        <f t="shared" ref="E70:T70" si="21">SUM(E65:E69)</f>
        <v>175000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175000</v>
      </c>
      <c r="S70" s="150">
        <f t="shared" si="21"/>
        <v>125000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327000</v>
      </c>
      <c r="C73" s="147">
        <v>327000</v>
      </c>
      <c r="D73" s="147"/>
      <c r="E73" s="147">
        <f>C73-H73-I73</f>
        <v>243251</v>
      </c>
      <c r="F73" s="147"/>
      <c r="G73" s="147"/>
      <c r="H73" s="147"/>
      <c r="I73" s="147">
        <f>565232-481483</f>
        <v>83749</v>
      </c>
      <c r="J73" s="147"/>
      <c r="K73" s="147"/>
      <c r="L73" s="147"/>
      <c r="M73" s="147"/>
      <c r="N73" s="147"/>
      <c r="O73" s="147"/>
      <c r="P73" s="147"/>
      <c r="Q73" s="147"/>
      <c r="R73" s="516">
        <f>SUM(E73:Q73)</f>
        <v>327000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327000</v>
      </c>
      <c r="C77" s="146">
        <f>SUM(C72:C76)</f>
        <v>327000</v>
      </c>
      <c r="D77" s="146">
        <f>SUM(D72:D76)</f>
        <v>0</v>
      </c>
      <c r="E77" s="146">
        <f t="shared" ref="E77:Q77" si="22">SUM(E72:E76)</f>
        <v>243251</v>
      </c>
      <c r="F77" s="146">
        <f t="shared" si="22"/>
        <v>0</v>
      </c>
      <c r="G77" s="146">
        <f t="shared" si="22"/>
        <v>0</v>
      </c>
      <c r="H77" s="146">
        <f t="shared" si="22"/>
        <v>0</v>
      </c>
      <c r="I77" s="146">
        <f t="shared" si="22"/>
        <v>83749</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327000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596481</v>
      </c>
      <c r="C79" s="147">
        <v>596481</v>
      </c>
      <c r="D79" s="147"/>
      <c r="E79" s="147">
        <f>C79-F79</f>
        <v>596481</v>
      </c>
      <c r="F79" s="147"/>
      <c r="G79" s="147"/>
      <c r="H79" s="147"/>
      <c r="I79" s="147"/>
      <c r="J79" s="147"/>
      <c r="K79" s="147"/>
      <c r="L79" s="147"/>
      <c r="M79" s="147"/>
      <c r="N79" s="147"/>
      <c r="O79" s="147"/>
      <c r="P79" s="147"/>
      <c r="Q79" s="147"/>
      <c r="R79" s="516">
        <f>SUM(E79:Q79)</f>
        <v>596481</v>
      </c>
      <c r="S79" s="147">
        <f>R79</f>
        <v>596481</v>
      </c>
      <c r="T79" s="147"/>
      <c r="U79" s="143"/>
    </row>
    <row r="80" spans="1:21" s="144" customFormat="1">
      <c r="A80" s="283" t="s">
        <v>58</v>
      </c>
      <c r="B80" s="146">
        <f>SUM(C80:D80)</f>
        <v>150000</v>
      </c>
      <c r="C80" s="147">
        <v>150000</v>
      </c>
      <c r="D80" s="147"/>
      <c r="E80" s="147">
        <f>C80</f>
        <v>150000</v>
      </c>
      <c r="F80" s="147"/>
      <c r="G80" s="147"/>
      <c r="H80" s="147"/>
      <c r="I80" s="147"/>
      <c r="J80" s="147"/>
      <c r="K80" s="147"/>
      <c r="L80" s="147"/>
      <c r="M80" s="147"/>
      <c r="N80" s="147"/>
      <c r="O80" s="147"/>
      <c r="P80" s="147"/>
      <c r="Q80" s="147"/>
      <c r="R80" s="516">
        <f>SUM(E80:Q80)</f>
        <v>150000</v>
      </c>
      <c r="S80" s="147">
        <f>R80</f>
        <v>150000</v>
      </c>
      <c r="T80" s="147"/>
      <c r="U80" s="143"/>
    </row>
    <row r="81" spans="1:21" s="144" customFormat="1">
      <c r="A81" s="149" t="s">
        <v>1209</v>
      </c>
      <c r="B81" s="146">
        <f>SUM(C81:D81)</f>
        <v>746481</v>
      </c>
      <c r="C81" s="509">
        <f>SUM(C79:C80)</f>
        <v>746481</v>
      </c>
      <c r="D81" s="509">
        <f t="shared" ref="D81:T81" si="23">SUM(D79:D80)</f>
        <v>0</v>
      </c>
      <c r="E81" s="509">
        <f t="shared" si="23"/>
        <v>746481</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746481</v>
      </c>
      <c r="S81" s="509">
        <f t="shared" si="23"/>
        <v>746481</v>
      </c>
      <c r="T81" s="509">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4">SUM(C83+D83)</f>
        <v>127526</v>
      </c>
      <c r="C83" s="147">
        <f>5726+44800+2000+25000+50000</f>
        <v>127526</v>
      </c>
      <c r="D83" s="147"/>
      <c r="E83" s="147">
        <f>C83</f>
        <v>127526</v>
      </c>
      <c r="F83" s="147"/>
      <c r="G83" s="147"/>
      <c r="H83" s="147"/>
      <c r="I83" s="147"/>
      <c r="J83" s="147"/>
      <c r="K83" s="147"/>
      <c r="L83" s="147"/>
      <c r="M83" s="147"/>
      <c r="N83" s="147"/>
      <c r="O83" s="147"/>
      <c r="P83" s="147"/>
      <c r="Q83" s="147"/>
      <c r="R83" s="516">
        <f t="shared" ref="R83:R95" si="25">SUM(E83:Q83)</f>
        <v>127526</v>
      </c>
      <c r="S83" s="148"/>
      <c r="T83" s="148"/>
      <c r="U83" s="143"/>
    </row>
    <row r="84" spans="1:21" s="144" customFormat="1">
      <c r="A84" s="145" t="s">
        <v>767</v>
      </c>
      <c r="B84" s="146">
        <f t="shared" si="24"/>
        <v>92500</v>
      </c>
      <c r="C84" s="147">
        <f>52500+35000+5000</f>
        <v>92500</v>
      </c>
      <c r="D84" s="147"/>
      <c r="E84" s="147">
        <f>C84</f>
        <v>92500</v>
      </c>
      <c r="F84" s="147"/>
      <c r="G84" s="147"/>
      <c r="H84" s="147"/>
      <c r="I84" s="147"/>
      <c r="J84" s="147"/>
      <c r="K84" s="147"/>
      <c r="L84" s="147"/>
      <c r="M84" s="147"/>
      <c r="N84" s="147"/>
      <c r="O84" s="147"/>
      <c r="P84" s="147"/>
      <c r="Q84" s="147"/>
      <c r="R84" s="516">
        <f t="shared" si="25"/>
        <v>92500</v>
      </c>
      <c r="S84" s="147">
        <f>R84</f>
        <v>92500</v>
      </c>
      <c r="T84" s="147"/>
      <c r="U84" s="143"/>
    </row>
    <row r="85" spans="1:21" s="144" customFormat="1">
      <c r="A85" s="145" t="s">
        <v>768</v>
      </c>
      <c r="B85" s="146">
        <f t="shared" si="24"/>
        <v>0</v>
      </c>
      <c r="C85" s="147"/>
      <c r="D85" s="147"/>
      <c r="E85" s="147"/>
      <c r="F85" s="147"/>
      <c r="G85" s="147"/>
      <c r="H85" s="147"/>
      <c r="I85" s="147"/>
      <c r="J85" s="147"/>
      <c r="K85" s="147"/>
      <c r="L85" s="147"/>
      <c r="M85" s="147"/>
      <c r="N85" s="147"/>
      <c r="O85" s="147"/>
      <c r="P85" s="147"/>
      <c r="Q85" s="147"/>
      <c r="R85" s="516">
        <f t="shared" si="25"/>
        <v>0</v>
      </c>
      <c r="S85" s="147"/>
      <c r="T85" s="147"/>
      <c r="U85" s="143"/>
    </row>
    <row r="86" spans="1:21" s="144" customFormat="1">
      <c r="A86" s="145" t="s">
        <v>769</v>
      </c>
      <c r="B86" s="146">
        <f t="shared" si="24"/>
        <v>80000</v>
      </c>
      <c r="C86" s="147">
        <v>80000</v>
      </c>
      <c r="D86" s="147"/>
      <c r="E86" s="147">
        <f t="shared" ref="E86:E94" si="26">C86</f>
        <v>80000</v>
      </c>
      <c r="F86" s="147"/>
      <c r="G86" s="147"/>
      <c r="H86" s="147"/>
      <c r="I86" s="147"/>
      <c r="J86" s="147"/>
      <c r="K86" s="147"/>
      <c r="L86" s="147"/>
      <c r="M86" s="147"/>
      <c r="N86" s="147"/>
      <c r="O86" s="147"/>
      <c r="P86" s="147"/>
      <c r="Q86" s="147"/>
      <c r="R86" s="516">
        <f t="shared" si="25"/>
        <v>80000</v>
      </c>
      <c r="S86" s="147">
        <f>R86</f>
        <v>80000</v>
      </c>
      <c r="T86" s="147"/>
      <c r="U86" s="143"/>
    </row>
    <row r="87" spans="1:21" s="144" customFormat="1">
      <c r="A87" s="145" t="s">
        <v>770</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771</v>
      </c>
      <c r="B88" s="146">
        <f t="shared" si="24"/>
        <v>0</v>
      </c>
      <c r="C88" s="147"/>
      <c r="D88" s="147"/>
      <c r="E88" s="147"/>
      <c r="F88" s="147"/>
      <c r="G88" s="147"/>
      <c r="H88" s="147"/>
      <c r="I88" s="147"/>
      <c r="J88" s="147"/>
      <c r="K88" s="147"/>
      <c r="L88" s="147"/>
      <c r="M88" s="147"/>
      <c r="N88" s="147"/>
      <c r="O88" s="147"/>
      <c r="P88" s="147"/>
      <c r="Q88" s="147"/>
      <c r="R88" s="516">
        <f t="shared" si="25"/>
        <v>0</v>
      </c>
      <c r="S88" s="148"/>
      <c r="T88" s="148"/>
      <c r="U88" s="143"/>
    </row>
    <row r="89" spans="1:21" s="144" customFormat="1">
      <c r="A89" s="145" t="s">
        <v>772</v>
      </c>
      <c r="B89" s="146">
        <f t="shared" si="24"/>
        <v>0</v>
      </c>
      <c r="C89" s="147"/>
      <c r="D89" s="147"/>
      <c r="E89" s="147"/>
      <c r="F89" s="147"/>
      <c r="G89" s="147"/>
      <c r="H89" s="147"/>
      <c r="I89" s="147"/>
      <c r="J89" s="147"/>
      <c r="K89" s="147"/>
      <c r="L89" s="147"/>
      <c r="M89" s="147"/>
      <c r="N89" s="147"/>
      <c r="O89" s="147"/>
      <c r="P89" s="147"/>
      <c r="Q89" s="147"/>
      <c r="R89" s="516">
        <f t="shared" si="25"/>
        <v>0</v>
      </c>
      <c r="S89" s="147"/>
      <c r="T89" s="147"/>
      <c r="U89" s="143"/>
    </row>
    <row r="90" spans="1:21" s="144" customFormat="1">
      <c r="A90" s="145" t="s">
        <v>773</v>
      </c>
      <c r="B90" s="146">
        <f t="shared" si="24"/>
        <v>18750</v>
      </c>
      <c r="C90" s="147">
        <v>18750</v>
      </c>
      <c r="D90" s="147"/>
      <c r="E90" s="147">
        <f t="shared" si="26"/>
        <v>18750</v>
      </c>
      <c r="F90" s="147"/>
      <c r="G90" s="147"/>
      <c r="H90" s="147"/>
      <c r="I90" s="147"/>
      <c r="J90" s="147"/>
      <c r="K90" s="147"/>
      <c r="L90" s="147"/>
      <c r="M90" s="147"/>
      <c r="N90" s="147"/>
      <c r="O90" s="147"/>
      <c r="P90" s="147"/>
      <c r="Q90" s="147"/>
      <c r="R90" s="516">
        <f t="shared" si="25"/>
        <v>18750</v>
      </c>
      <c r="S90" s="147">
        <f>R90</f>
        <v>18750</v>
      </c>
      <c r="T90" s="147"/>
      <c r="U90" s="143"/>
    </row>
    <row r="91" spans="1:21" s="144" customFormat="1">
      <c r="A91" s="145" t="s">
        <v>372</v>
      </c>
      <c r="B91" s="146">
        <f t="shared" si="24"/>
        <v>30000</v>
      </c>
      <c r="C91" s="147">
        <v>30000</v>
      </c>
      <c r="D91" s="147"/>
      <c r="E91" s="147">
        <f t="shared" si="26"/>
        <v>30000</v>
      </c>
      <c r="F91" s="147"/>
      <c r="G91" s="147"/>
      <c r="H91" s="147"/>
      <c r="I91" s="147"/>
      <c r="J91" s="147"/>
      <c r="K91" s="147"/>
      <c r="L91" s="147"/>
      <c r="M91" s="147"/>
      <c r="N91" s="147"/>
      <c r="O91" s="147"/>
      <c r="P91" s="147"/>
      <c r="Q91" s="147"/>
      <c r="R91" s="516">
        <f t="shared" si="25"/>
        <v>30000</v>
      </c>
      <c r="S91" s="147"/>
      <c r="T91" s="147"/>
      <c r="U91" s="143"/>
    </row>
    <row r="92" spans="1:21" s="144" customFormat="1">
      <c r="A92" s="283" t="s">
        <v>1211</v>
      </c>
      <c r="B92" s="146">
        <f t="shared" si="24"/>
        <v>18750</v>
      </c>
      <c r="C92" s="147">
        <v>18750</v>
      </c>
      <c r="D92" s="147"/>
      <c r="E92" s="147">
        <f t="shared" si="26"/>
        <v>18750</v>
      </c>
      <c r="F92" s="147"/>
      <c r="G92" s="147"/>
      <c r="H92" s="147"/>
      <c r="I92" s="147"/>
      <c r="J92" s="147"/>
      <c r="K92" s="147"/>
      <c r="L92" s="147"/>
      <c r="M92" s="147"/>
      <c r="N92" s="147"/>
      <c r="O92" s="147"/>
      <c r="P92" s="147"/>
      <c r="Q92" s="147"/>
      <c r="R92" s="516">
        <f t="shared" si="25"/>
        <v>18750</v>
      </c>
      <c r="S92" s="147">
        <f>R92</f>
        <v>18750</v>
      </c>
      <c r="T92" s="147"/>
      <c r="U92" s="143"/>
    </row>
    <row r="93" spans="1:21" s="144" customFormat="1" ht="24">
      <c r="A93" s="1149" t="s">
        <v>2750</v>
      </c>
      <c r="B93" s="146">
        <f t="shared" si="24"/>
        <v>167500</v>
      </c>
      <c r="C93" s="147">
        <f>22500+45000+25000+25000+50000</f>
        <v>167500</v>
      </c>
      <c r="D93" s="147"/>
      <c r="E93" s="147">
        <f t="shared" si="26"/>
        <v>167500</v>
      </c>
      <c r="F93" s="147"/>
      <c r="G93" s="147"/>
      <c r="H93" s="147"/>
      <c r="I93" s="147"/>
      <c r="J93" s="147"/>
      <c r="K93" s="147"/>
      <c r="L93" s="147"/>
      <c r="M93" s="147"/>
      <c r="N93" s="147"/>
      <c r="O93" s="147"/>
      <c r="P93" s="147"/>
      <c r="Q93" s="147"/>
      <c r="R93" s="516">
        <f t="shared" si="25"/>
        <v>167500</v>
      </c>
      <c r="S93" s="147">
        <f t="shared" ref="S93:S94" si="27">R93</f>
        <v>167500</v>
      </c>
      <c r="T93" s="147"/>
      <c r="U93" s="143"/>
    </row>
    <row r="94" spans="1:21" s="144" customFormat="1">
      <c r="A94" s="1149" t="s">
        <v>2746</v>
      </c>
      <c r="B94" s="146">
        <f t="shared" si="24"/>
        <v>119000</v>
      </c>
      <c r="C94" s="147">
        <f>22000+97000</f>
        <v>119000</v>
      </c>
      <c r="D94" s="147"/>
      <c r="E94" s="147">
        <f t="shared" si="26"/>
        <v>119000</v>
      </c>
      <c r="F94" s="147"/>
      <c r="G94" s="147"/>
      <c r="H94" s="147"/>
      <c r="I94" s="147"/>
      <c r="J94" s="147"/>
      <c r="K94" s="147"/>
      <c r="L94" s="147"/>
      <c r="M94" s="147"/>
      <c r="N94" s="147"/>
      <c r="O94" s="147"/>
      <c r="P94" s="147"/>
      <c r="Q94" s="147"/>
      <c r="R94" s="516">
        <f t="shared" si="25"/>
        <v>119000</v>
      </c>
      <c r="S94" s="147">
        <f t="shared" si="27"/>
        <v>119000</v>
      </c>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c r="A96" s="149" t="s">
        <v>774</v>
      </c>
      <c r="B96" s="146">
        <f>SUM(C96:D96)</f>
        <v>654026</v>
      </c>
      <c r="C96" s="146">
        <f t="shared" ref="C96:R96" si="28">SUM(C83:C95)</f>
        <v>654026</v>
      </c>
      <c r="D96" s="146">
        <f t="shared" si="28"/>
        <v>0</v>
      </c>
      <c r="E96" s="146">
        <f t="shared" si="28"/>
        <v>654026</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654026</v>
      </c>
      <c r="S96" s="150">
        <f>SUM(S84:S87,S89:S95)</f>
        <v>496500</v>
      </c>
      <c r="T96" s="146">
        <f>SUM(T84:T87,T89:T95)</f>
        <v>0</v>
      </c>
      <c r="U96" s="143"/>
    </row>
    <row r="97" spans="1:21" s="144" customFormat="1">
      <c r="A97" s="149" t="s">
        <v>775</v>
      </c>
      <c r="B97" s="146">
        <f>SUM(C97:D97)</f>
        <v>15146383</v>
      </c>
      <c r="C97" s="146">
        <f t="shared" ref="C97:R97" si="29">SUM(C63+C70+C77+C81+C96)</f>
        <v>15146383</v>
      </c>
      <c r="D97" s="146">
        <f t="shared" si="29"/>
        <v>0</v>
      </c>
      <c r="E97" s="146">
        <f t="shared" si="29"/>
        <v>3154568</v>
      </c>
      <c r="F97" s="146">
        <f t="shared" si="29"/>
        <v>7750000</v>
      </c>
      <c r="G97" s="146">
        <f t="shared" si="29"/>
        <v>1250000</v>
      </c>
      <c r="H97" s="146">
        <f t="shared" si="29"/>
        <v>2342068</v>
      </c>
      <c r="I97" s="146">
        <f t="shared" si="29"/>
        <v>565232</v>
      </c>
      <c r="J97" s="146">
        <f t="shared" si="29"/>
        <v>84515</v>
      </c>
      <c r="K97" s="146">
        <f t="shared" si="29"/>
        <v>0</v>
      </c>
      <c r="L97" s="146">
        <f t="shared" si="29"/>
        <v>0</v>
      </c>
      <c r="M97" s="146">
        <f t="shared" si="29"/>
        <v>0</v>
      </c>
      <c r="N97" s="146">
        <f t="shared" si="29"/>
        <v>0</v>
      </c>
      <c r="O97" s="146">
        <f t="shared" si="29"/>
        <v>0</v>
      </c>
      <c r="P97" s="146">
        <f t="shared" si="29"/>
        <v>0</v>
      </c>
      <c r="Q97" s="146">
        <f t="shared" si="29"/>
        <v>0</v>
      </c>
      <c r="R97" s="146">
        <f t="shared" si="29"/>
        <v>15146383</v>
      </c>
      <c r="S97" s="146">
        <f>SUM(S63+S70+S81+S96)</f>
        <v>8593613</v>
      </c>
      <c r="T97" s="146">
        <f>SUM(T63+T70+T81+T96)</f>
        <v>3942777</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1784206</v>
      </c>
      <c r="C99" s="979">
        <v>1784206</v>
      </c>
      <c r="D99" s="979"/>
      <c r="E99" s="979">
        <f>C99-K99</f>
        <v>1712249</v>
      </c>
      <c r="F99" s="147"/>
      <c r="G99" s="147"/>
      <c r="H99" s="147"/>
      <c r="I99" s="147"/>
      <c r="J99" s="147"/>
      <c r="K99" s="147">
        <v>71957</v>
      </c>
      <c r="L99" s="147"/>
      <c r="M99" s="147"/>
      <c r="N99" s="147"/>
      <c r="O99" s="147"/>
      <c r="P99" s="147"/>
      <c r="Q99" s="147"/>
      <c r="R99" s="516">
        <f>SUM(E99:Q99)</f>
        <v>1784206</v>
      </c>
      <c r="S99" s="147">
        <v>1288292</v>
      </c>
      <c r="T99" s="147">
        <f>47752+448162</f>
        <v>495914</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1784206</v>
      </c>
      <c r="C104" s="146">
        <f>SUM(C99:C103)</f>
        <v>1784206</v>
      </c>
      <c r="D104" s="146">
        <f t="shared" ref="D104:T104" si="30">SUM(D99:D103)</f>
        <v>0</v>
      </c>
      <c r="E104" s="146">
        <f t="shared" si="30"/>
        <v>1712249</v>
      </c>
      <c r="F104" s="146">
        <f t="shared" si="30"/>
        <v>0</v>
      </c>
      <c r="G104" s="146">
        <f t="shared" si="30"/>
        <v>0</v>
      </c>
      <c r="H104" s="146">
        <f t="shared" si="30"/>
        <v>0</v>
      </c>
      <c r="I104" s="146">
        <f t="shared" si="30"/>
        <v>0</v>
      </c>
      <c r="J104" s="146">
        <f t="shared" si="30"/>
        <v>0</v>
      </c>
      <c r="K104" s="146">
        <f t="shared" si="30"/>
        <v>71957</v>
      </c>
      <c r="L104" s="146">
        <f t="shared" si="30"/>
        <v>0</v>
      </c>
      <c r="M104" s="146">
        <f t="shared" si="30"/>
        <v>0</v>
      </c>
      <c r="N104" s="146">
        <f t="shared" si="30"/>
        <v>0</v>
      </c>
      <c r="O104" s="146">
        <f t="shared" si="30"/>
        <v>0</v>
      </c>
      <c r="P104" s="146">
        <f t="shared" si="30"/>
        <v>0</v>
      </c>
      <c r="Q104" s="146">
        <f t="shared" si="30"/>
        <v>0</v>
      </c>
      <c r="R104" s="342">
        <f t="shared" si="30"/>
        <v>1784206</v>
      </c>
      <c r="S104" s="150">
        <f t="shared" si="30"/>
        <v>1288292</v>
      </c>
      <c r="T104" s="150">
        <f t="shared" si="30"/>
        <v>495914</v>
      </c>
      <c r="U104" s="143"/>
    </row>
    <row r="105" spans="1:21" s="144" customFormat="1">
      <c r="A105" s="149" t="s">
        <v>780</v>
      </c>
      <c r="B105" s="150">
        <f>SUM(C105:D105)</f>
        <v>16930589</v>
      </c>
      <c r="C105" s="150">
        <f t="shared" ref="C105:R105" si="31">SUM(C97+C104)</f>
        <v>16930589</v>
      </c>
      <c r="D105" s="150">
        <f t="shared" si="31"/>
        <v>0</v>
      </c>
      <c r="E105" s="150">
        <f t="shared" si="31"/>
        <v>4866817</v>
      </c>
      <c r="F105" s="150">
        <f t="shared" si="31"/>
        <v>7750000</v>
      </c>
      <c r="G105" s="150">
        <f t="shared" si="31"/>
        <v>1250000</v>
      </c>
      <c r="H105" s="150">
        <f t="shared" si="31"/>
        <v>2342068</v>
      </c>
      <c r="I105" s="150">
        <f t="shared" si="31"/>
        <v>565232</v>
      </c>
      <c r="J105" s="150">
        <f t="shared" si="31"/>
        <v>84515</v>
      </c>
      <c r="K105" s="150">
        <f t="shared" si="31"/>
        <v>71957</v>
      </c>
      <c r="L105" s="150">
        <f t="shared" si="31"/>
        <v>0</v>
      </c>
      <c r="M105" s="150">
        <f t="shared" si="31"/>
        <v>0</v>
      </c>
      <c r="N105" s="150">
        <f t="shared" si="31"/>
        <v>0</v>
      </c>
      <c r="O105" s="150">
        <f t="shared" si="31"/>
        <v>0</v>
      </c>
      <c r="P105" s="150">
        <f t="shared" si="31"/>
        <v>0</v>
      </c>
      <c r="Q105" s="150">
        <f t="shared" si="31"/>
        <v>0</v>
      </c>
      <c r="R105" s="342">
        <f t="shared" si="31"/>
        <v>16930589</v>
      </c>
      <c r="S105" s="150">
        <f>S97+S104</f>
        <v>9881905</v>
      </c>
      <c r="T105" s="150">
        <f>T97+T104</f>
        <v>4438691</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9881905</v>
      </c>
      <c r="T107" s="150">
        <f>T105+T106</f>
        <v>4438691</v>
      </c>
    </row>
    <row r="108" spans="1:21" s="189" customFormat="1">
      <c r="A108" s="162" t="s">
        <v>879</v>
      </c>
      <c r="B108" s="157"/>
      <c r="C108" s="157"/>
      <c r="D108" s="157"/>
      <c r="E108" s="301">
        <f>Application!AO640</f>
        <v>4866817</v>
      </c>
      <c r="F108" s="301">
        <f>Application!AO627</f>
        <v>7750000</v>
      </c>
      <c r="G108" s="301">
        <f>Application!AO628</f>
        <v>1250000</v>
      </c>
      <c r="H108" s="301">
        <f>Application!AO629</f>
        <v>2342068</v>
      </c>
      <c r="I108" s="301">
        <f>Application!AO630</f>
        <v>565232</v>
      </c>
      <c r="J108" s="301">
        <f>Application!AO631</f>
        <v>84515</v>
      </c>
      <c r="K108" s="301">
        <f>Application!AO632</f>
        <v>71957</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907223</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907223</v>
      </c>
      <c r="C8" s="361">
        <f>SUM(C4:C7)</f>
        <v>0</v>
      </c>
      <c r="D8" s="361">
        <f>SUM(D4:D7)</f>
        <v>0</v>
      </c>
      <c r="E8" s="363"/>
      <c r="F8" s="363"/>
      <c r="G8" s="363"/>
      <c r="H8" s="363"/>
      <c r="I8" s="363"/>
      <c r="J8" s="363"/>
      <c r="K8" s="359"/>
    </row>
    <row r="9" spans="1:11" s="360" customFormat="1">
      <c r="A9" s="364" t="s">
        <v>594</v>
      </c>
      <c r="B9" s="361">
        <f>'Sources and Uses Budget'!C9</f>
        <v>4424260</v>
      </c>
      <c r="C9" s="362"/>
      <c r="D9" s="362"/>
      <c r="E9" s="363"/>
      <c r="F9" s="363"/>
      <c r="G9" s="363"/>
      <c r="H9" s="361">
        <f>'Sources and Uses Budget'!T9</f>
        <v>3942777</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4424260</v>
      </c>
      <c r="C11" s="361">
        <f>SUM(C9:C10)</f>
        <v>0</v>
      </c>
      <c r="D11" s="361">
        <f>SUM(D9:D10)</f>
        <v>0</v>
      </c>
      <c r="E11" s="363"/>
      <c r="F11" s="363"/>
      <c r="G11" s="363"/>
      <c r="H11" s="361">
        <f>'Sources and Uses Budget'!T11</f>
        <v>3942777</v>
      </c>
      <c r="I11" s="361">
        <f>SUM(I9:I10)</f>
        <v>0</v>
      </c>
      <c r="J11" s="361">
        <f>SUM(J9:J10)</f>
        <v>0</v>
      </c>
      <c r="K11" s="359"/>
    </row>
    <row r="12" spans="1:11" s="360" customFormat="1">
      <c r="A12" s="365" t="s">
        <v>84</v>
      </c>
      <c r="B12" s="361">
        <f>'Sources and Uses Budget'!C12</f>
        <v>5331483</v>
      </c>
      <c r="C12" s="361">
        <f>SUM(C8+C11)</f>
        <v>0</v>
      </c>
      <c r="D12" s="361">
        <f>SUM(D8+D11)</f>
        <v>0</v>
      </c>
      <c r="E12" s="363"/>
      <c r="F12" s="363"/>
      <c r="G12" s="363"/>
      <c r="H12" s="363"/>
      <c r="I12" s="363"/>
      <c r="J12" s="363"/>
      <c r="K12" s="359"/>
    </row>
    <row r="13" spans="1:11" s="360" customFormat="1">
      <c r="A13" s="366" t="s">
        <v>902</v>
      </c>
      <c r="B13" s="361">
        <f>'Sources and Uses Budget'!C13</f>
        <v>5000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5120000</v>
      </c>
      <c r="C18" s="362"/>
      <c r="D18" s="362"/>
      <c r="E18" s="361">
        <f>'Sources and Uses Budget'!S18</f>
        <v>5120000</v>
      </c>
      <c r="F18" s="362"/>
      <c r="G18" s="362"/>
      <c r="H18" s="361">
        <f>'Sources and Uses Budget'!T18</f>
        <v>0</v>
      </c>
      <c r="I18" s="362"/>
      <c r="J18" s="362"/>
      <c r="K18" s="359"/>
    </row>
    <row r="19" spans="1:11" s="360" customFormat="1">
      <c r="A19" s="364" t="s">
        <v>600</v>
      </c>
      <c r="B19" s="361">
        <f>'Sources and Uses Budget'!C19</f>
        <v>307200</v>
      </c>
      <c r="C19" s="362"/>
      <c r="D19" s="362"/>
      <c r="E19" s="361">
        <f>'Sources and Uses Budget'!S19</f>
        <v>307200</v>
      </c>
      <c r="F19" s="362"/>
      <c r="G19" s="362"/>
      <c r="H19" s="361">
        <f>'Sources and Uses Budget'!T19</f>
        <v>0</v>
      </c>
      <c r="I19" s="362"/>
      <c r="J19" s="362"/>
      <c r="K19" s="359"/>
    </row>
    <row r="20" spans="1:11" s="360" customFormat="1">
      <c r="A20" s="364" t="s">
        <v>137</v>
      </c>
      <c r="B20" s="361">
        <f>'Sources and Uses Budget'!C20</f>
        <v>307200</v>
      </c>
      <c r="C20" s="362"/>
      <c r="D20" s="362"/>
      <c r="E20" s="361">
        <f>'Sources and Uses Budget'!S20</f>
        <v>307200</v>
      </c>
      <c r="F20" s="362"/>
      <c r="G20" s="362"/>
      <c r="H20" s="361">
        <f>'Sources and Uses Budget'!T20</f>
        <v>0</v>
      </c>
      <c r="I20" s="362"/>
      <c r="J20" s="362"/>
      <c r="K20" s="359"/>
    </row>
    <row r="21" spans="1:11" s="360" customFormat="1">
      <c r="A21" s="364" t="s">
        <v>138</v>
      </c>
      <c r="B21" s="361">
        <f>'Sources and Uses Budget'!C21</f>
        <v>102400</v>
      </c>
      <c r="C21" s="362"/>
      <c r="D21" s="362"/>
      <c r="E21" s="361">
        <f>'Sources and Uses Budget'!S21</f>
        <v>102400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64000</v>
      </c>
      <c r="C23" s="362"/>
      <c r="D23" s="362"/>
      <c r="E23" s="361">
        <f>'Sources and Uses Budget'!S23</f>
        <v>64000</v>
      </c>
      <c r="F23" s="362"/>
      <c r="G23" s="362"/>
      <c r="H23" s="361">
        <f>'Sources and Uses Budget'!T23</f>
        <v>0</v>
      </c>
      <c r="I23" s="362"/>
      <c r="J23" s="362"/>
      <c r="K23" s="359"/>
    </row>
    <row r="24" spans="1:11" s="360" customFormat="1">
      <c r="A24" s="508" t="s">
        <v>1640</v>
      </c>
      <c r="B24" s="361">
        <f>'Sources and Uses Budget'!C24</f>
        <v>35000</v>
      </c>
      <c r="C24" s="362"/>
      <c r="D24" s="362"/>
      <c r="E24" s="361">
        <f>'Sources and Uses Budget'!S24</f>
        <v>35000</v>
      </c>
      <c r="F24" s="362"/>
      <c r="G24" s="362"/>
      <c r="H24" s="361">
        <f>'Sources and Uses Budget'!T24</f>
        <v>0</v>
      </c>
      <c r="I24" s="362"/>
      <c r="J24" s="362"/>
      <c r="K24" s="359"/>
    </row>
    <row r="25" spans="1:11" s="360" customFormat="1">
      <c r="A25" s="364" t="str">
        <f>'Sources and Uses Budget'!$A25</f>
        <v>P&amp;P Bond</v>
      </c>
      <c r="B25" s="361">
        <f>'Sources and Uses Budget'!C25</f>
        <v>89000</v>
      </c>
      <c r="C25" s="362"/>
      <c r="D25" s="362"/>
      <c r="E25" s="361">
        <f>'Sources and Uses Budget'!S25</f>
        <v>89000</v>
      </c>
      <c r="F25" s="362"/>
      <c r="G25" s="362"/>
      <c r="H25" s="361">
        <f>'Sources and Uses Budget'!T25</f>
        <v>0</v>
      </c>
      <c r="I25" s="362"/>
      <c r="J25" s="362"/>
      <c r="K25" s="359"/>
    </row>
    <row r="26" spans="1:11" s="360" customFormat="1">
      <c r="A26" s="365" t="s">
        <v>133</v>
      </c>
      <c r="B26" s="361">
        <f>'Sources and Uses Budget'!C26</f>
        <v>6024800</v>
      </c>
      <c r="C26" s="361">
        <f>SUM(C17:C25)</f>
        <v>0</v>
      </c>
      <c r="D26" s="361">
        <f>SUM(D17:D25)</f>
        <v>0</v>
      </c>
      <c r="E26" s="361">
        <f>'Sources and Uses Budget'!S26</f>
        <v>6024800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192000</v>
      </c>
      <c r="C27" s="362"/>
      <c r="D27" s="362"/>
      <c r="E27" s="361">
        <f>'Sources and Uses Budget'!S27</f>
        <v>192000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120000</v>
      </c>
      <c r="C40" s="362"/>
      <c r="D40" s="362"/>
      <c r="E40" s="361">
        <f>'Sources and Uses Budget'!S40</f>
        <v>120000</v>
      </c>
      <c r="F40" s="362"/>
      <c r="G40" s="362"/>
      <c r="H40" s="361">
        <f>'Sources and Uses Budget'!T40</f>
        <v>0</v>
      </c>
      <c r="I40" s="362"/>
      <c r="J40" s="362"/>
      <c r="K40" s="359"/>
    </row>
    <row r="41" spans="1:11" s="360" customFormat="1">
      <c r="A41" s="364" t="s">
        <v>146</v>
      </c>
      <c r="B41" s="361">
        <f>'Sources and Uses Budget'!C41</f>
        <v>30000</v>
      </c>
      <c r="C41" s="362"/>
      <c r="D41" s="362"/>
      <c r="E41" s="361">
        <f>'Sources and Uses Budget'!S41</f>
        <v>30000</v>
      </c>
      <c r="F41" s="362"/>
      <c r="G41" s="362"/>
      <c r="H41" s="361">
        <f>'Sources and Uses Budget'!T41</f>
        <v>0</v>
      </c>
      <c r="I41" s="362"/>
      <c r="J41" s="362"/>
      <c r="K41" s="359"/>
    </row>
    <row r="42" spans="1:11" s="360" customFormat="1">
      <c r="A42" s="365" t="s">
        <v>147</v>
      </c>
      <c r="B42" s="361">
        <f>'Sources and Uses Budget'!C42</f>
        <v>150000</v>
      </c>
      <c r="C42" s="361">
        <f>SUM(C39:C41)</f>
        <v>0</v>
      </c>
      <c r="D42" s="361">
        <f>SUM(D39:D41)</f>
        <v>0</v>
      </c>
      <c r="E42" s="361">
        <f>'Sources and Uses Budget'!S42</f>
        <v>150000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98683</v>
      </c>
      <c r="C43" s="362"/>
      <c r="D43" s="362"/>
      <c r="E43" s="361">
        <f>'Sources and Uses Budget'!S43</f>
        <v>98683</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728213</v>
      </c>
      <c r="C45" s="362"/>
      <c r="D45" s="362"/>
      <c r="E45" s="361">
        <f>'Sources and Uses Budget'!S45</f>
        <v>297858</v>
      </c>
      <c r="F45" s="362"/>
      <c r="G45" s="362"/>
      <c r="H45" s="361">
        <f>'Sources and Uses Budget'!T45</f>
        <v>0</v>
      </c>
      <c r="I45" s="362"/>
      <c r="J45" s="362"/>
      <c r="K45" s="359"/>
    </row>
    <row r="46" spans="1:11" s="360" customFormat="1">
      <c r="A46" s="364" t="s">
        <v>151</v>
      </c>
      <c r="B46" s="361">
        <f>'Sources and Uses Budget'!C46</f>
        <v>76500</v>
      </c>
      <c r="C46" s="362"/>
      <c r="D46" s="362"/>
      <c r="E46" s="361">
        <f>'Sources and Uses Budget'!S46</f>
        <v>76500</v>
      </c>
      <c r="F46" s="362"/>
      <c r="G46" s="362"/>
      <c r="H46" s="361">
        <f>'Sources and Uses Budget'!T46</f>
        <v>0</v>
      </c>
      <c r="I46" s="362"/>
      <c r="J46" s="362"/>
      <c r="K46" s="359"/>
    </row>
    <row r="47" spans="1:11" s="360" customFormat="1" ht="12" customHeight="1">
      <c r="A47" s="364" t="s">
        <v>152</v>
      </c>
      <c r="B47" s="361">
        <f>'Sources and Uses Budget'!C47</f>
        <v>180000</v>
      </c>
      <c r="C47" s="362"/>
      <c r="D47" s="362"/>
      <c r="E47" s="361">
        <f>'Sources and Uses Budget'!S47</f>
        <v>180000</v>
      </c>
      <c r="F47" s="362"/>
      <c r="G47" s="362"/>
      <c r="H47" s="361">
        <f>'Sources and Uses Budget'!T47</f>
        <v>0</v>
      </c>
      <c r="I47" s="362"/>
      <c r="J47" s="362"/>
      <c r="K47" s="359"/>
    </row>
    <row r="48" spans="1:11" s="360" customFormat="1">
      <c r="A48" s="364" t="s">
        <v>153</v>
      </c>
      <c r="B48" s="361">
        <f>'Sources and Uses Budget'!C48</f>
        <v>194696</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175000</v>
      </c>
      <c r="C50" s="362"/>
      <c r="D50" s="362"/>
      <c r="E50" s="361">
        <f>'Sources and Uses Budget'!S50</f>
        <v>175000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30791</v>
      </c>
      <c r="C52" s="362"/>
      <c r="D52" s="362"/>
      <c r="E52" s="361">
        <f>'Sources and Uses Budget'!S52</f>
        <v>30791</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1385200</v>
      </c>
      <c r="C54" s="367">
        <f>SUM(C45:C53)</f>
        <v>0</v>
      </c>
      <c r="D54" s="367">
        <f>SUM(D45:D53)</f>
        <v>0</v>
      </c>
      <c r="E54" s="361">
        <f>'Sources and Uses Budget'!S54</f>
        <v>760149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56710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56710</v>
      </c>
      <c r="C62" s="361">
        <f>SUM(C56:C61)</f>
        <v>0</v>
      </c>
      <c r="D62" s="361">
        <f>SUM(D56:D61)</f>
        <v>0</v>
      </c>
      <c r="E62" s="363"/>
      <c r="F62" s="363"/>
      <c r="G62" s="363"/>
      <c r="H62" s="363"/>
      <c r="I62" s="363"/>
      <c r="J62" s="363"/>
      <c r="K62" s="359"/>
    </row>
    <row r="63" spans="1:11" s="360" customFormat="1">
      <c r="A63" s="370" t="s">
        <v>302</v>
      </c>
      <c r="B63" s="361">
        <f>'Sources and Uses Budget'!C63</f>
        <v>13243876</v>
      </c>
      <c r="C63" s="361">
        <f>SUM(C8+C11+C13+C14+C15+C26+C27+C38+C42+C43+C54+C62)</f>
        <v>0</v>
      </c>
      <c r="D63" s="361">
        <f>SUM(D8+D11+D13+D14+D15+D26+D27+D38+D42+D43+D54+D62)</f>
        <v>0</v>
      </c>
      <c r="E63" s="361">
        <f>'Sources and Uses Budget'!S63</f>
        <v>7225632</v>
      </c>
      <c r="F63" s="361">
        <f>SUM(F10+F13+F14+F15+F26+F27+F38+F42+F43+F54)</f>
        <v>0</v>
      </c>
      <c r="G63" s="361">
        <f>SUM(G10+G13+G14+G15+G26+G27+G38+G42+G43+G54)</f>
        <v>0</v>
      </c>
      <c r="H63" s="361">
        <f>'Sources and Uses Budget'!T63</f>
        <v>3942777</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175000</v>
      </c>
      <c r="C65" s="362"/>
      <c r="D65" s="362"/>
      <c r="E65" s="361">
        <f>'Sources and Uses Budget'!S65</f>
        <v>125000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175000</v>
      </c>
      <c r="C70" s="361">
        <f>SUM(C64:C69)</f>
        <v>0</v>
      </c>
      <c r="D70" s="361">
        <f>SUM(D64:D69)</f>
        <v>0</v>
      </c>
      <c r="E70" s="361">
        <f>'Sources and Uses Budget'!S70</f>
        <v>125000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327000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327000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596481</v>
      </c>
      <c r="C79" s="362"/>
      <c r="D79" s="362"/>
      <c r="E79" s="361">
        <f>'Sources and Uses Budget'!S79</f>
        <v>596481</v>
      </c>
      <c r="F79" s="362"/>
      <c r="G79" s="362"/>
      <c r="H79" s="361">
        <f>'Sources and Uses Budget'!T79</f>
        <v>0</v>
      </c>
      <c r="I79" s="362"/>
      <c r="J79" s="362"/>
      <c r="K79" s="359"/>
    </row>
    <row r="80" spans="1:11" s="360" customFormat="1">
      <c r="A80" s="364" t="s">
        <v>58</v>
      </c>
      <c r="B80" s="361">
        <f>'Sources and Uses Budget'!C80</f>
        <v>150000</v>
      </c>
      <c r="C80" s="362"/>
      <c r="D80" s="362"/>
      <c r="E80" s="361">
        <f>'Sources and Uses Budget'!S80</f>
        <v>150000</v>
      </c>
      <c r="F80" s="362"/>
      <c r="G80" s="362"/>
      <c r="H80" s="361">
        <f>'Sources and Uses Budget'!T80</f>
        <v>0</v>
      </c>
      <c r="I80" s="362"/>
      <c r="J80" s="362"/>
      <c r="K80" s="359"/>
    </row>
    <row r="81" spans="1:11" s="360" customFormat="1">
      <c r="A81" s="365" t="s">
        <v>1209</v>
      </c>
      <c r="B81" s="361">
        <f>'Sources and Uses Budget'!C81</f>
        <v>746481</v>
      </c>
      <c r="C81" s="361">
        <f>SUM(C79:C80)</f>
        <v>0</v>
      </c>
      <c r="D81" s="361">
        <f>SUM(D79:D80)</f>
        <v>0</v>
      </c>
      <c r="E81" s="361">
        <f>'Sources and Uses Budget'!S81</f>
        <v>746481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127526</v>
      </c>
      <c r="C83" s="362"/>
      <c r="D83" s="362"/>
      <c r="E83" s="363"/>
      <c r="F83" s="363"/>
      <c r="G83" s="363"/>
      <c r="H83" s="363"/>
      <c r="I83" s="363"/>
      <c r="J83" s="363"/>
      <c r="K83" s="359"/>
    </row>
    <row r="84" spans="1:11" s="360" customFormat="1">
      <c r="A84" s="145" t="s">
        <v>767</v>
      </c>
      <c r="B84" s="361">
        <f>'Sources and Uses Budget'!C84</f>
        <v>92500</v>
      </c>
      <c r="C84" s="362"/>
      <c r="D84" s="362"/>
      <c r="E84" s="361">
        <f>'Sources and Uses Budget'!S84</f>
        <v>92500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80000</v>
      </c>
      <c r="C86" s="362"/>
      <c r="D86" s="362"/>
      <c r="E86" s="361">
        <f>'Sources and Uses Budget'!S86</f>
        <v>80000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18750</v>
      </c>
      <c r="C90" s="362"/>
      <c r="D90" s="362"/>
      <c r="E90" s="361">
        <f>'Sources and Uses Budget'!S90</f>
        <v>18750</v>
      </c>
      <c r="F90" s="362"/>
      <c r="G90" s="362"/>
      <c r="H90" s="361">
        <f>'Sources and Uses Budget'!T90</f>
        <v>0</v>
      </c>
      <c r="I90" s="362"/>
      <c r="J90" s="362"/>
      <c r="K90" s="359"/>
    </row>
    <row r="91" spans="1:11" s="360" customFormat="1">
      <c r="A91" s="155" t="s">
        <v>372</v>
      </c>
      <c r="B91" s="361">
        <f>'Sources and Uses Budget'!C91</f>
        <v>30000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18750</v>
      </c>
      <c r="C92" s="362"/>
      <c r="D92" s="362"/>
      <c r="E92" s="361">
        <f>'Sources and Uses Budget'!S92</f>
        <v>18750</v>
      </c>
      <c r="F92" s="362"/>
      <c r="G92" s="362"/>
      <c r="H92" s="361">
        <f>'Sources and Uses Budget'!T92</f>
        <v>0</v>
      </c>
      <c r="I92" s="362"/>
      <c r="J92" s="362"/>
      <c r="K92" s="359"/>
    </row>
    <row r="93" spans="1:11" s="360" customFormat="1" ht="24">
      <c r="A93" s="364" t="str">
        <f>'Sources and Uses Budget'!$A93</f>
        <v>Misc 3rd Party Reports (PCNA, Energy, Zoning, etc.)</v>
      </c>
      <c r="B93" s="361">
        <f>'Sources and Uses Budget'!C93</f>
        <v>167500</v>
      </c>
      <c r="C93" s="362"/>
      <c r="D93" s="362"/>
      <c r="E93" s="361">
        <f>'Sources and Uses Budget'!S93</f>
        <v>167500</v>
      </c>
      <c r="F93" s="362"/>
      <c r="G93" s="362"/>
      <c r="H93" s="361">
        <f>'Sources and Uses Budget'!T93</f>
        <v>0</v>
      </c>
      <c r="I93" s="362"/>
      <c r="J93" s="362"/>
      <c r="K93" s="359"/>
    </row>
    <row r="94" spans="1:11" s="360" customFormat="1">
      <c r="A94" s="364" t="str">
        <f>'Sources and Uses Budget'!$A94</f>
        <v>MGP Fee (Start Up, Legal, etc).</v>
      </c>
      <c r="B94" s="361">
        <f>'Sources and Uses Budget'!C94</f>
        <v>119000</v>
      </c>
      <c r="C94" s="362"/>
      <c r="D94" s="362"/>
      <c r="E94" s="361">
        <f>'Sources and Uses Budget'!S94</f>
        <v>119000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654026</v>
      </c>
      <c r="C96" s="361">
        <f>SUM(C83:C95)</f>
        <v>0</v>
      </c>
      <c r="D96" s="361">
        <f>SUM(D83:D95)</f>
        <v>0</v>
      </c>
      <c r="E96" s="361">
        <f>'Sources and Uses Budget'!S96</f>
        <v>496500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15146383</v>
      </c>
      <c r="C97" s="361">
        <f>SUM(C63+C70+C77+C81+C96)</f>
        <v>0</v>
      </c>
      <c r="D97" s="361">
        <f>SUM(D63+D70+D77+D81+D96)</f>
        <v>0</v>
      </c>
      <c r="E97" s="361">
        <f>'Sources and Uses Budget'!S97</f>
        <v>8593613</v>
      </c>
      <c r="F97" s="367">
        <f>SUM(+F63+F70+F81+F96)</f>
        <v>0</v>
      </c>
      <c r="G97" s="367">
        <f>SUM(+G63+G70+G81+G96)</f>
        <v>0</v>
      </c>
      <c r="H97" s="361">
        <f>'Sources and Uses Budget'!T97</f>
        <v>3942777</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1784206</v>
      </c>
      <c r="C99" s="362"/>
      <c r="D99" s="362"/>
      <c r="E99" s="361">
        <f>'Sources and Uses Budget'!S99</f>
        <v>1288292</v>
      </c>
      <c r="F99" s="362"/>
      <c r="G99" s="362"/>
      <c r="H99" s="361">
        <f>'Sources and Uses Budget'!T99</f>
        <v>495914</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1784206</v>
      </c>
      <c r="C104" s="361">
        <f>SUM(C99:C103)</f>
        <v>0</v>
      </c>
      <c r="D104" s="361">
        <f>SUM(D99:D103)</f>
        <v>0</v>
      </c>
      <c r="E104" s="361">
        <f>'Sources and Uses Budget'!S104</f>
        <v>1288292</v>
      </c>
      <c r="F104" s="367">
        <f>SUM(F99:F103)</f>
        <v>0</v>
      </c>
      <c r="G104" s="367">
        <f>SUM(G99:G103)</f>
        <v>0</v>
      </c>
      <c r="H104" s="361">
        <f>'Sources and Uses Budget'!T104</f>
        <v>495914</v>
      </c>
      <c r="I104" s="367">
        <f>SUM(I99:I103)</f>
        <v>0</v>
      </c>
      <c r="J104" s="367">
        <f>SUM(J99:J103)</f>
        <v>0</v>
      </c>
      <c r="K104" s="359"/>
    </row>
    <row r="105" spans="1:11" s="360" customFormat="1">
      <c r="A105" s="365" t="s">
        <v>1030</v>
      </c>
      <c r="B105" s="361">
        <f>'Sources and Uses Budget'!C105</f>
        <v>16930589</v>
      </c>
      <c r="C105" s="367">
        <f>SUM(C97+C104)</f>
        <v>0</v>
      </c>
      <c r="D105" s="367">
        <f>SUM(D97+D104)</f>
        <v>0</v>
      </c>
      <c r="E105" s="361">
        <f>'Sources and Uses Budget'!S105</f>
        <v>9881905</v>
      </c>
      <c r="F105" s="367">
        <f>F97+F104</f>
        <v>0</v>
      </c>
      <c r="G105" s="367">
        <f>G97+G104</f>
        <v>0</v>
      </c>
      <c r="H105" s="361">
        <f>'Sources and Uses Budget'!T105</f>
        <v>4438691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9881905</v>
      </c>
      <c r="F107" s="367">
        <f>F105+F106</f>
        <v>0</v>
      </c>
      <c r="G107" s="367">
        <f>G105+G106</f>
        <v>0</v>
      </c>
      <c r="H107" s="361">
        <f>'Sources and Uses Budget'!T107</f>
        <v>4438691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2458</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2457</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Prospect Avenue Senior, Prospect Villa and Propect Villa III</v>
      </c>
      <c r="M4" s="2316"/>
      <c r="N4" s="2316"/>
      <c r="O4" s="2316"/>
      <c r="P4" s="2316"/>
      <c r="Q4" s="2316"/>
      <c r="R4" s="2316"/>
      <c r="S4" s="2316"/>
      <c r="T4" s="2316"/>
      <c r="U4" s="2316"/>
      <c r="V4" s="2316"/>
      <c r="W4" s="2316"/>
      <c r="X4" s="2316"/>
      <c r="Y4" s="2316"/>
      <c r="Z4" s="2316"/>
      <c r="AA4" s="2316"/>
      <c r="AB4" s="2316"/>
      <c r="AC4" s="2317"/>
      <c r="AD4" s="1190"/>
      <c r="AE4" s="1190"/>
      <c r="AF4" s="2311" t="s">
        <v>2456</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2455</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5" t="str">
        <f>IF(Application!H16="","",Application!H16)</f>
        <v>Hollister Investment Group, LP</v>
      </c>
      <c r="M6" s="2316"/>
      <c r="N6" s="2316"/>
      <c r="O6" s="2316"/>
      <c r="P6" s="2316"/>
      <c r="Q6" s="2316"/>
      <c r="R6" s="2316"/>
      <c r="S6" s="2316"/>
      <c r="T6" s="2316"/>
      <c r="U6" s="2316"/>
      <c r="V6" s="2316"/>
      <c r="W6" s="2316"/>
      <c r="X6" s="2316"/>
      <c r="Y6" s="2316"/>
      <c r="Z6" s="2316"/>
      <c r="AA6" s="2316"/>
      <c r="AB6" s="2316"/>
      <c r="AC6" s="2317"/>
      <c r="AD6" s="1190"/>
      <c r="AE6" s="1190"/>
      <c r="AF6" s="2318" t="s">
        <v>2453</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2452</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2450</v>
      </c>
      <c r="AG8" s="2318"/>
      <c r="AH8" s="2318"/>
      <c r="AI8" s="2318"/>
      <c r="AJ8" s="2318"/>
      <c r="AK8" s="2318"/>
      <c r="AL8" s="2318"/>
      <c r="AM8" s="2318"/>
      <c r="AN8" s="2318"/>
      <c r="AO8" s="2318"/>
      <c r="AP8" s="2319" t="s">
        <v>2099</v>
      </c>
      <c r="AQ8" s="2319"/>
      <c r="AR8" s="2319"/>
      <c r="AS8" s="2319"/>
      <c r="AT8" s="2319"/>
      <c r="AU8" s="231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2449</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4">
        <f>Application!AO627</f>
        <v>7750000</v>
      </c>
      <c r="O10" s="2314"/>
      <c r="P10" s="2314"/>
      <c r="Q10" s="2314"/>
      <c r="R10" s="2314"/>
      <c r="S10" s="2314"/>
      <c r="T10" s="2314"/>
      <c r="U10" s="1190"/>
      <c r="V10" s="1190"/>
      <c r="W10" s="1190"/>
      <c r="X10" s="1193"/>
      <c r="Y10" s="1193"/>
      <c r="Z10" s="1193"/>
      <c r="AA10" s="1193"/>
      <c r="AB10" s="1193"/>
      <c r="AC10" s="1193"/>
      <c r="AD10" s="1193"/>
      <c r="AE10" s="1193"/>
      <c r="AF10" s="2311" t="s">
        <v>2446</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2443</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2" t="s">
        <v>2441</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2440</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2438</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2437</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2436</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2435</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2434</v>
      </c>
      <c r="C18" s="2296"/>
      <c r="D18" s="2296"/>
      <c r="E18" s="2296"/>
      <c r="F18" s="2296"/>
      <c r="G18" s="2296"/>
      <c r="H18" s="2296"/>
      <c r="I18" s="2297"/>
      <c r="J18" s="2298" t="s">
        <v>1586</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2433</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29</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29</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0.453125</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34</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34</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0.53125</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2432</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1.5625E-2</v>
      </c>
      <c r="AU28" s="2279"/>
      <c r="AV28" s="2279"/>
      <c r="AW28" s="2279"/>
      <c r="AX28" s="2279"/>
      <c r="AY28" s="2280"/>
      <c r="AZ28" s="1190"/>
      <c r="BA28" s="1190"/>
      <c r="BB28" s="1190"/>
      <c r="BC28" s="1190"/>
      <c r="BD28" s="1190"/>
      <c r="BE28" s="1194"/>
    </row>
    <row r="29" spans="1:58" thickBot="1">
      <c r="A29" s="1190"/>
      <c r="B29" s="2255" t="s">
        <v>1586</v>
      </c>
      <c r="C29" s="2228"/>
      <c r="D29" s="2228"/>
      <c r="E29" s="2228"/>
      <c r="F29" s="2228"/>
      <c r="G29" s="2228"/>
      <c r="H29" s="2228"/>
      <c r="I29" s="2229"/>
      <c r="J29" s="2227">
        <f>SUM(J19:O28)</f>
        <v>64</v>
      </c>
      <c r="K29" s="2228"/>
      <c r="L29" s="2228"/>
      <c r="M29" s="2228"/>
      <c r="N29" s="2228"/>
      <c r="O29" s="2229"/>
      <c r="P29" s="2227">
        <f>SUM(P19:U28)</f>
        <v>0</v>
      </c>
      <c r="Q29" s="2228"/>
      <c r="R29" s="2228"/>
      <c r="S29" s="2228"/>
      <c r="T29" s="2228"/>
      <c r="U29" s="2229"/>
      <c r="V29" s="2227">
        <f>SUM(V19:AA28)</f>
        <v>63</v>
      </c>
      <c r="W29" s="2228"/>
      <c r="X29" s="2228"/>
      <c r="Y29" s="2228"/>
      <c r="Z29" s="2228"/>
      <c r="AA29" s="2229"/>
      <c r="AB29" s="2227">
        <f>SUM(AB19:AG28)</f>
        <v>1</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2431</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2430</v>
      </c>
      <c r="C32" s="2237"/>
      <c r="D32" s="2237"/>
      <c r="E32" s="2237"/>
      <c r="F32" s="2237"/>
      <c r="G32" s="2237"/>
      <c r="H32" s="2237"/>
      <c r="I32" s="2237"/>
      <c r="J32" s="2240" t="s">
        <v>2429</v>
      </c>
      <c r="K32" s="2241"/>
      <c r="L32" s="2241"/>
      <c r="M32" s="2241"/>
      <c r="N32" s="2240" t="s">
        <v>2428</v>
      </c>
      <c r="O32" s="2241"/>
      <c r="P32" s="2241"/>
      <c r="Q32" s="2243"/>
      <c r="R32" s="2245" t="s">
        <v>2427</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2426</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2425</v>
      </c>
      <c r="AT35" s="2257"/>
      <c r="AU35" s="2257"/>
      <c r="AV35" s="2257"/>
      <c r="AW35" s="2257"/>
      <c r="AX35" s="2265"/>
      <c r="AY35" s="2256" t="s">
        <v>2424</v>
      </c>
      <c r="AZ35" s="2257"/>
      <c r="BA35" s="2257"/>
      <c r="BB35" s="2257"/>
      <c r="BC35" s="2257"/>
      <c r="BD35" s="2258"/>
      <c r="BE35" s="1194"/>
    </row>
    <row r="36" spans="1:58" ht="15.75" customHeight="1">
      <c r="A36" s="1190"/>
      <c r="B36" s="2160" t="s">
        <v>2423</v>
      </c>
      <c r="C36" s="2161"/>
      <c r="D36" s="2161"/>
      <c r="E36" s="2161"/>
      <c r="F36" s="2161"/>
      <c r="G36" s="2161"/>
      <c r="H36" s="2161"/>
      <c r="I36" s="2161"/>
      <c r="J36" s="2225" t="s">
        <v>2422</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2421</v>
      </c>
      <c r="C37" s="2161"/>
      <c r="D37" s="2161"/>
      <c r="E37" s="2161"/>
      <c r="F37" s="2161"/>
      <c r="G37" s="2161"/>
      <c r="H37" s="2161"/>
      <c r="I37" s="2161"/>
      <c r="J37" s="2225" t="s">
        <v>2420</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2419</v>
      </c>
      <c r="C38" s="2161"/>
      <c r="D38" s="2161"/>
      <c r="E38" s="2161"/>
      <c r="F38" s="2161"/>
      <c r="G38" s="2161"/>
      <c r="H38" s="2161"/>
      <c r="I38" s="2161"/>
      <c r="J38" s="2225" t="s">
        <v>2418</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2417</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2417</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2416</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2416</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2415</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2414</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2413</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2337</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2410</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2403</v>
      </c>
      <c r="C51" s="2103"/>
      <c r="D51" s="2103"/>
      <c r="E51" s="2103"/>
      <c r="F51" s="2103"/>
      <c r="G51" s="2103"/>
      <c r="H51" s="2103"/>
      <c r="I51" s="2103"/>
      <c r="J51" s="2103" t="s">
        <v>2409</v>
      </c>
      <c r="K51" s="2103"/>
      <c r="L51" s="2103"/>
      <c r="M51" s="2103"/>
      <c r="N51" s="2103"/>
      <c r="O51" s="2103"/>
      <c r="P51" s="2103"/>
      <c r="Q51" s="2103"/>
      <c r="R51" s="2204" t="s">
        <v>2408</v>
      </c>
      <c r="S51" s="2204"/>
      <c r="T51" s="2204"/>
      <c r="U51" s="2204"/>
      <c r="V51" s="2204"/>
      <c r="W51" s="2204"/>
      <c r="X51" s="2204"/>
      <c r="Y51" s="2204"/>
      <c r="Z51" s="2204" t="s">
        <v>2407</v>
      </c>
      <c r="AA51" s="2204"/>
      <c r="AB51" s="2204"/>
      <c r="AC51" s="2204"/>
      <c r="AD51" s="2204"/>
      <c r="AE51" s="2204"/>
      <c r="AF51" s="2204"/>
      <c r="AG51" s="2204"/>
      <c r="AH51" s="2204" t="s">
        <v>2406</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2405</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2404</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2403</v>
      </c>
      <c r="C59" s="2194"/>
      <c r="D59" s="2194"/>
      <c r="E59" s="2194"/>
      <c r="F59" s="2194"/>
      <c r="G59" s="2194"/>
      <c r="H59" s="2194"/>
      <c r="I59" s="2195"/>
      <c r="J59" s="2101" t="s">
        <v>2402</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2400</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2399</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2398</v>
      </c>
    </row>
    <row r="69" spans="1:94" ht="15.75" customHeight="1" thickTop="1" thickBot="1">
      <c r="A69" s="1190"/>
      <c r="B69" s="2178" t="s">
        <v>2397</v>
      </c>
      <c r="C69" s="2179"/>
      <c r="D69" s="2179"/>
      <c r="E69" s="2179"/>
      <c r="F69" s="2179"/>
      <c r="G69" s="2179"/>
      <c r="H69" s="2179"/>
      <c r="I69" s="2179"/>
      <c r="J69" s="2179"/>
      <c r="K69" s="2179"/>
      <c r="L69" s="2179"/>
      <c r="M69" s="2179"/>
      <c r="N69" s="2179"/>
      <c r="O69" s="2180" t="s">
        <v>2396</v>
      </c>
      <c r="P69" s="2181"/>
      <c r="Q69" s="2181"/>
      <c r="R69" s="2181"/>
      <c r="S69" s="2181"/>
      <c r="T69" s="2181"/>
      <c r="U69" s="2181"/>
      <c r="V69" s="2181"/>
      <c r="W69" s="2181"/>
      <c r="X69" s="2181"/>
      <c r="Y69" s="2181"/>
      <c r="Z69" s="2181"/>
      <c r="AA69" s="2182"/>
      <c r="AB69" s="1190"/>
      <c r="AC69" s="2183" t="s">
        <v>2395</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2394</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2393</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2392</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2391</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2390</v>
      </c>
    </row>
    <row r="72" spans="1:94" ht="15.75" customHeight="1">
      <c r="A72" s="1190"/>
      <c r="B72" s="2160" t="s">
        <v>2389</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2388</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2387</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2385</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2384</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2383</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2382</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2372</v>
      </c>
      <c r="J84" s="2103"/>
      <c r="K84" s="2103"/>
      <c r="L84" s="2103"/>
      <c r="M84" s="2103"/>
      <c r="N84" s="2103"/>
      <c r="O84" s="2103" t="s">
        <v>2348</v>
      </c>
      <c r="P84" s="2103"/>
      <c r="Q84" s="2103"/>
      <c r="R84" s="2103"/>
      <c r="S84" s="2103"/>
      <c r="T84" s="2103"/>
      <c r="U84" s="2103"/>
      <c r="V84" s="2139" t="s">
        <v>2347</v>
      </c>
      <c r="W84" s="2139"/>
      <c r="X84" s="2139"/>
      <c r="Y84" s="2139"/>
      <c r="Z84" s="2139"/>
      <c r="AA84" s="2139"/>
      <c r="AB84" s="2073" t="s">
        <v>2371</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2370</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2369</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2376</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2368</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2380</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2379</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2378</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2377</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Bettencourt Properties, Inc.</v>
      </c>
      <c r="BR96" s="1259">
        <f>Application!AH246</f>
        <v>5.0000000000000001E-3</v>
      </c>
      <c r="CM96" s="1188"/>
      <c r="CN96" s="1188"/>
      <c r="CO96" s="1188"/>
      <c r="CP96" s="1188"/>
    </row>
    <row r="97" spans="1:94" ht="15.75" customHeight="1">
      <c r="A97" s="1190"/>
      <c r="B97" s="2135"/>
      <c r="C97" s="2103"/>
      <c r="D97" s="2103"/>
      <c r="E97" s="2103"/>
      <c r="F97" s="2103"/>
      <c r="G97" s="2103"/>
      <c r="H97" s="2103"/>
      <c r="I97" s="2103" t="s">
        <v>2372</v>
      </c>
      <c r="J97" s="2103"/>
      <c r="K97" s="2103"/>
      <c r="L97" s="2103"/>
      <c r="M97" s="2103"/>
      <c r="N97" s="2103"/>
      <c r="O97" s="2103" t="s">
        <v>2348</v>
      </c>
      <c r="P97" s="2103"/>
      <c r="Q97" s="2103"/>
      <c r="R97" s="2103"/>
      <c r="S97" s="2103"/>
      <c r="T97" s="2103"/>
      <c r="U97" s="2103"/>
      <c r="V97" s="2139" t="s">
        <v>2347</v>
      </c>
      <c r="W97" s="2139"/>
      <c r="X97" s="2139"/>
      <c r="Y97" s="2139"/>
      <c r="Z97" s="2139"/>
      <c r="AA97" s="2139"/>
      <c r="AB97" s="2073" t="s">
        <v>2371</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The Beneficial Housing Foundation</v>
      </c>
      <c r="BR97" s="1259">
        <f>Application!AH254</f>
        <v>5.0000000000000001E-3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2370</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2369</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2376</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2368</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AWI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2373</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2372</v>
      </c>
      <c r="J108" s="2103"/>
      <c r="K108" s="2103"/>
      <c r="L108" s="2103"/>
      <c r="M108" s="2103"/>
      <c r="N108" s="2103"/>
      <c r="O108" s="2103" t="s">
        <v>2348</v>
      </c>
      <c r="P108" s="2103"/>
      <c r="Q108" s="2103"/>
      <c r="R108" s="2103"/>
      <c r="S108" s="2103"/>
      <c r="T108" s="2103"/>
      <c r="U108" s="2103"/>
      <c r="V108" s="2139" t="s">
        <v>2347</v>
      </c>
      <c r="W108" s="2139"/>
      <c r="X108" s="2139"/>
      <c r="Y108" s="2139"/>
      <c r="Z108" s="2139"/>
      <c r="AA108" s="2139"/>
      <c r="AB108" s="2073" t="s">
        <v>2371</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2370</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2369</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2368</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2366</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2366</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2364</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2363</v>
      </c>
      <c r="J127" s="2103"/>
      <c r="K127" s="2103"/>
      <c r="L127" s="2103"/>
      <c r="M127" s="2103"/>
      <c r="N127" s="2103"/>
      <c r="O127" s="2104" t="s">
        <v>2362</v>
      </c>
      <c r="P127" s="2104"/>
      <c r="Q127" s="2104"/>
      <c r="R127" s="2104"/>
      <c r="S127" s="2104"/>
      <c r="T127" s="2104"/>
      <c r="U127" s="2105"/>
      <c r="V127" s="1190"/>
      <c r="W127" s="1190"/>
      <c r="X127" s="2043" t="s">
        <v>2332</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2346</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2345</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2360</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2348</v>
      </c>
      <c r="J134" s="2078"/>
      <c r="K134" s="2078"/>
      <c r="L134" s="2078"/>
      <c r="M134" s="2078"/>
      <c r="N134" s="2078"/>
      <c r="O134" s="2078"/>
      <c r="P134" s="2078" t="s">
        <v>2347</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2346</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2345</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2359</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2358</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2357</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2356</v>
      </c>
      <c r="C142" s="2086"/>
      <c r="D142" s="2086"/>
      <c r="E142" s="2086"/>
      <c r="F142" s="2086"/>
      <c r="G142" s="2086"/>
      <c r="H142" s="2086"/>
      <c r="I142" s="2086"/>
      <c r="J142" s="2086"/>
      <c r="K142" s="2086"/>
      <c r="L142" s="2086"/>
      <c r="M142" s="2086"/>
      <c r="N142" s="2086"/>
      <c r="O142" s="2086"/>
      <c r="P142" s="2086"/>
      <c r="Q142" s="2086"/>
      <c r="R142" s="2087" t="s">
        <v>2355</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2354</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2351</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2350</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2348</v>
      </c>
      <c r="J157" s="2078"/>
      <c r="K157" s="2078"/>
      <c r="L157" s="2078"/>
      <c r="M157" s="2078"/>
      <c r="N157" s="2078"/>
      <c r="O157" s="2078"/>
      <c r="P157" s="2078" t="s">
        <v>2349</v>
      </c>
      <c r="Q157" s="2078"/>
      <c r="R157" s="2078"/>
      <c r="S157" s="2078"/>
      <c r="T157" s="2078"/>
      <c r="U157" s="2079"/>
      <c r="V157" s="1190"/>
      <c r="W157" s="1190"/>
      <c r="X157" s="2040"/>
      <c r="Y157" s="2041"/>
      <c r="Z157" s="2041"/>
      <c r="AA157" s="2041"/>
      <c r="AB157" s="2041"/>
      <c r="AC157" s="2041"/>
      <c r="AD157" s="2041"/>
      <c r="AE157" s="2078" t="s">
        <v>2348</v>
      </c>
      <c r="AF157" s="2078"/>
      <c r="AG157" s="2078"/>
      <c r="AH157" s="2078"/>
      <c r="AI157" s="2078"/>
      <c r="AJ157" s="2078"/>
      <c r="AK157" s="2078"/>
      <c r="AL157" s="2078" t="s">
        <v>2347</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2346</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2346</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2345</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2344</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2329</v>
      </c>
      <c r="D163" s="2041"/>
      <c r="E163" s="2041"/>
      <c r="F163" s="2041"/>
      <c r="G163" s="2041"/>
      <c r="H163" s="2041"/>
      <c r="I163" s="2041"/>
      <c r="J163" s="2041"/>
      <c r="K163" s="2041"/>
      <c r="L163" s="2041"/>
      <c r="M163" s="2041"/>
      <c r="N163" s="2041"/>
      <c r="O163" s="2041"/>
      <c r="P163" s="2041"/>
      <c r="Q163" s="2041" t="s">
        <v>2343</v>
      </c>
      <c r="R163" s="2041"/>
      <c r="S163" s="2041"/>
      <c r="T163" s="2073" t="s">
        <v>2342</v>
      </c>
      <c r="U163" s="2073"/>
      <c r="V163" s="2073"/>
      <c r="W163" s="2073"/>
      <c r="X163" s="2073"/>
      <c r="Y163" s="2073"/>
      <c r="Z163" s="2073"/>
      <c r="AA163" s="2073"/>
      <c r="AB163" s="2041" t="s">
        <v>2341</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2340</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2339</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2338</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2337</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2318</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2318</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2318</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2336</v>
      </c>
      <c r="D172" s="2027"/>
      <c r="E172" s="2027"/>
      <c r="F172" s="2027"/>
      <c r="G172" s="2027"/>
      <c r="H172" s="2027"/>
      <c r="I172" s="2027"/>
      <c r="J172" s="2027"/>
      <c r="K172" s="2027"/>
      <c r="L172" s="2027"/>
      <c r="M172" s="2027"/>
      <c r="N172" s="2036"/>
      <c r="O172" s="1190"/>
      <c r="P172" s="2037" t="s">
        <v>2335</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2334</v>
      </c>
      <c r="D173" s="2041"/>
      <c r="E173" s="2041"/>
      <c r="F173" s="2041"/>
      <c r="G173" s="2041"/>
      <c r="H173" s="2041"/>
      <c r="I173" s="2041" t="s">
        <v>2333</v>
      </c>
      <c r="J173" s="2041"/>
      <c r="K173" s="2041"/>
      <c r="L173" s="2041"/>
      <c r="M173" s="2041"/>
      <c r="N173" s="2042"/>
      <c r="O173" s="1190"/>
      <c r="P173" s="2043" t="s">
        <v>2332</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2331</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2329</v>
      </c>
      <c r="D184" s="2027"/>
      <c r="E184" s="2027"/>
      <c r="F184" s="2027"/>
      <c r="G184" s="2027"/>
      <c r="H184" s="2027"/>
      <c r="I184" s="2027"/>
      <c r="J184" s="2027"/>
      <c r="K184" s="2027"/>
      <c r="L184" s="2027"/>
      <c r="M184" s="2027"/>
      <c r="N184" s="2027" t="s">
        <v>2330</v>
      </c>
      <c r="O184" s="2027"/>
      <c r="P184" s="2027"/>
      <c r="Q184" s="2027"/>
      <c r="R184" s="2027"/>
      <c r="S184" s="2027"/>
      <c r="T184" s="2027"/>
      <c r="U184" s="2028" t="s">
        <v>2329</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2328</v>
      </c>
      <c r="D185" s="2006"/>
      <c r="E185" s="2006"/>
      <c r="F185" s="2006"/>
      <c r="G185" s="2006"/>
      <c r="H185" s="2006"/>
      <c r="I185" s="2006"/>
      <c r="J185" s="2006"/>
      <c r="K185" s="2006"/>
      <c r="L185" s="2006"/>
      <c r="M185" s="2006"/>
      <c r="N185" s="2016">
        <f>'Sources and Uses Budget'!B105</f>
        <v>16930589</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2327</v>
      </c>
      <c r="D186" s="2006"/>
      <c r="E186" s="2006"/>
      <c r="F186" s="2006"/>
      <c r="G186" s="2006"/>
      <c r="H186" s="2006"/>
      <c r="I186" s="2006"/>
      <c r="J186" s="2006"/>
      <c r="K186" s="2006"/>
      <c r="L186" s="2006"/>
      <c r="M186" s="2006"/>
      <c r="N186" s="2016">
        <f>N185/J29</f>
        <v>264540.453125</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2326</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2325</v>
      </c>
      <c r="D188" s="2006"/>
      <c r="E188" s="2006"/>
      <c r="F188" s="2006"/>
      <c r="G188" s="2006"/>
      <c r="H188" s="2006"/>
      <c r="I188" s="2006"/>
      <c r="J188" s="2006"/>
      <c r="K188" s="2006"/>
      <c r="L188" s="2006"/>
      <c r="M188" s="2006"/>
      <c r="N188" s="2035">
        <f>SUM('Sources and Uses Budget'!B85:B86)</f>
        <v>80000</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2324</v>
      </c>
      <c r="D189" s="2006"/>
      <c r="E189" s="2006"/>
      <c r="F189" s="2006"/>
      <c r="G189" s="2006"/>
      <c r="H189" s="2006"/>
      <c r="I189" s="2006"/>
      <c r="J189" s="2006"/>
      <c r="K189" s="2006"/>
      <c r="L189" s="2006"/>
      <c r="M189" s="2006"/>
      <c r="N189" s="2035">
        <f>'Sources and Uses Budget'!B8</f>
        <v>907223</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2322</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2323</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2322</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2321</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2320</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2318</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2319</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2318</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2318</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2317</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2316</v>
      </c>
      <c r="D195" s="1960"/>
      <c r="E195" s="1960"/>
      <c r="F195" s="1960"/>
      <c r="G195" s="1960"/>
      <c r="H195" s="1960"/>
      <c r="I195" s="1960"/>
      <c r="J195" s="1960"/>
      <c r="K195" s="1960"/>
      <c r="L195" s="1960"/>
      <c r="M195" s="1960"/>
      <c r="N195" s="1961">
        <f>SUM(N187:T194)</f>
        <v>987223</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2315</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2314</v>
      </c>
      <c r="D196" s="1970"/>
      <c r="E196" s="1970"/>
      <c r="F196" s="1970"/>
      <c r="G196" s="1970"/>
      <c r="H196" s="1970"/>
      <c r="I196" s="1970"/>
      <c r="J196" s="1970"/>
      <c r="K196" s="1970"/>
      <c r="L196" s="1970"/>
      <c r="M196" s="1970"/>
      <c r="N196" s="1971">
        <f>(N185-N195)/J29</f>
        <v>249115.09375</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2313</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2312</v>
      </c>
      <c r="D200" s="1957"/>
      <c r="E200" s="1957"/>
      <c r="F200" s="1957"/>
      <c r="G200" s="1957"/>
      <c r="H200" s="1957"/>
      <c r="I200" s="1957"/>
      <c r="J200" s="1957"/>
      <c r="K200" s="1957"/>
      <c r="L200" s="1957"/>
      <c r="M200" s="1957"/>
      <c r="N200" s="1957"/>
      <c r="O200" s="1958" t="s">
        <v>2311</v>
      </c>
      <c r="P200" s="1958"/>
      <c r="Q200" s="1958"/>
      <c r="R200" s="1958"/>
      <c r="S200" s="1958"/>
      <c r="T200" s="1958"/>
      <c r="U200" s="1958"/>
      <c r="V200" s="1958"/>
      <c r="W200" s="1958"/>
      <c r="X200" s="1958" t="s">
        <v>2310</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2309</v>
      </c>
      <c r="D201" s="1949"/>
      <c r="E201" s="1949"/>
      <c r="F201" s="1949"/>
      <c r="G201" s="1949"/>
      <c r="H201" s="1949"/>
      <c r="I201" s="1949"/>
      <c r="J201" s="1949"/>
      <c r="K201" s="1949"/>
      <c r="L201" s="1949"/>
      <c r="M201" s="1949"/>
      <c r="N201" s="1949"/>
      <c r="O201" s="1950" t="s">
        <v>2308</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2308</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2307</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2306</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2305</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2304</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2303</v>
      </c>
      <c r="D207" s="1928"/>
      <c r="E207" s="1928"/>
      <c r="F207" s="1929"/>
      <c r="G207" s="1933" t="s">
        <v>2302</v>
      </c>
      <c r="H207" s="1928"/>
      <c r="I207" s="1928"/>
      <c r="J207" s="1928"/>
      <c r="K207" s="1928"/>
      <c r="L207" s="1928"/>
      <c r="M207" s="1928"/>
      <c r="N207" s="1928"/>
      <c r="O207" s="1929"/>
      <c r="P207" s="1935" t="s">
        <v>2301</v>
      </c>
      <c r="Q207" s="1936"/>
      <c r="R207" s="1936"/>
      <c r="S207" s="1936"/>
      <c r="T207" s="1937"/>
      <c r="U207" s="1941" t="s">
        <v>2300</v>
      </c>
      <c r="V207" s="1942"/>
      <c r="W207" s="1942"/>
      <c r="X207" s="1943"/>
      <c r="Y207" s="1941" t="s">
        <v>2299</v>
      </c>
      <c r="Z207" s="1942"/>
      <c r="AA207" s="1942"/>
      <c r="AB207" s="1943"/>
      <c r="AC207" s="1941" t="s">
        <v>2298</v>
      </c>
      <c r="AD207" s="1942"/>
      <c r="AE207" s="1942"/>
      <c r="AF207" s="1943"/>
      <c r="AG207" s="1933" t="s">
        <v>2297</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2296</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2294</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2293</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2292</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2291</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2289</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2288</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2287</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2286</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2285</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2284</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2283</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9"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9881905</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4438691</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9881905</v>
      </c>
      <c r="U23" s="2336"/>
      <c r="V23" s="2336"/>
      <c r="W23" s="2336"/>
      <c r="X23" s="2336"/>
      <c r="Y23" s="2355">
        <f>Y11+Y22</f>
        <v>0</v>
      </c>
      <c r="Z23" s="2336"/>
      <c r="AA23" s="2336"/>
      <c r="AB23" s="2336"/>
      <c r="AC23" s="2336"/>
      <c r="AD23" s="2355">
        <f>AD11+AD22</f>
        <v>4438691</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50035034.880000003</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9881905</v>
      </c>
      <c r="U26" s="2336"/>
      <c r="V26" s="2336"/>
      <c r="W26" s="2336"/>
      <c r="X26" s="2336"/>
      <c r="Y26" s="2355">
        <f>Y23*Y25</f>
        <v>0</v>
      </c>
      <c r="Z26" s="2336"/>
      <c r="AA26" s="2336"/>
      <c r="AB26" s="2336"/>
      <c r="AC26" s="2336"/>
      <c r="AD26" s="2355">
        <f>AD23*AD25</f>
        <v>4438691</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9881905</v>
      </c>
      <c r="U28" s="2336"/>
      <c r="V28" s="2336"/>
      <c r="W28" s="2336"/>
      <c r="X28" s="2336"/>
      <c r="Y28" s="2355">
        <f>IF(ISERROR((Y26*Y27)),0,(Y26*Y27))</f>
        <v>0</v>
      </c>
      <c r="Z28" s="2336"/>
      <c r="AA28" s="2336"/>
      <c r="AB28" s="2336"/>
      <c r="AC28" s="2336"/>
      <c r="AD28" s="2355">
        <f>IF(ISERROR((AD26*AD27)),0,(AD26*AD27))</f>
        <v>4438691</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14320596</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9881905</v>
      </c>
      <c r="Z38" s="2336"/>
      <c r="AA38" s="2336"/>
      <c r="AB38" s="2336"/>
      <c r="AC38" s="2336"/>
      <c r="AD38" s="2336">
        <f>IF(T24&gt;=(T23+Y23+AD23+AI23),AD28+AI28,0)</f>
        <v>4438691</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395276</v>
      </c>
      <c r="Z40" s="2336"/>
      <c r="AA40" s="2336"/>
      <c r="AB40" s="2336"/>
      <c r="AC40" s="2336"/>
      <c r="AD40" s="2355">
        <f>ROUND(AD38*AD39,0)</f>
        <v>177548</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572824</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Budget'!B15),IF(Application!AG394="",0,Application!AG394))</f>
        <v>16930589</v>
      </c>
      <c r="AC47" s="2351"/>
      <c r="AD47" s="2351"/>
      <c r="AE47" s="2351"/>
      <c r="AF47" s="2352"/>
    </row>
    <row r="48" spans="1:76" ht="12.95" customHeight="1">
      <c r="D48" s="404" t="s">
        <v>21</v>
      </c>
      <c r="AB48" s="2350">
        <f>Application!AO639-MAX(IF('Sources and Uses Budget'!B15="",0,'Sources and Uses Budget'!B15),IF(Application!AG394="",0,Application!AG394))</f>
        <v>12063772</v>
      </c>
      <c r="AC48" s="2351"/>
      <c r="AD48" s="2351"/>
      <c r="AE48" s="2351"/>
      <c r="AF48" s="2352"/>
    </row>
    <row r="49" spans="1:76" ht="12.95" customHeight="1">
      <c r="D49" s="404" t="s">
        <v>91</v>
      </c>
      <c r="AB49" s="2350">
        <f>AB47-AB48</f>
        <v>4866817</v>
      </c>
      <c r="AC49" s="2351"/>
      <c r="AD49" s="2351"/>
      <c r="AE49" s="2351"/>
      <c r="AF49" s="2352"/>
    </row>
    <row r="50" spans="1:76" ht="12.95" customHeight="1">
      <c r="D50" s="404" t="s">
        <v>681</v>
      </c>
      <c r="AA50" s="415"/>
      <c r="AB50" s="2338">
        <v>0.85000098000000002</v>
      </c>
      <c r="AC50" s="2339"/>
      <c r="AD50" s="2339"/>
      <c r="AE50" s="2339"/>
      <c r="AF50" s="2340"/>
    </row>
    <row r="51" spans="1:76" s="417" customFormat="1" ht="12.95" customHeight="1">
      <c r="A51" s="402"/>
      <c r="B51" s="402"/>
      <c r="C51" s="402"/>
      <c r="D51" s="402"/>
      <c r="E51" s="2349" t="s">
        <v>1850</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5725660</v>
      </c>
      <c r="AC54" s="2351"/>
      <c r="AD54" s="2351"/>
      <c r="AE54" s="2351"/>
      <c r="AF54" s="2352"/>
    </row>
    <row r="55" spans="1:76" ht="12.95" customHeight="1">
      <c r="D55" s="404" t="s">
        <v>333</v>
      </c>
      <c r="AB55" s="2350">
        <f>(AB54/10)</f>
        <v>572566</v>
      </c>
      <c r="AC55" s="2351"/>
      <c r="AD55" s="2351"/>
      <c r="AE55" s="2351"/>
      <c r="AF55" s="2352"/>
    </row>
    <row r="56" spans="1:76" ht="12.95" customHeight="1">
      <c r="D56" s="404" t="s">
        <v>756</v>
      </c>
      <c r="AB56" s="2350">
        <f>ROUND((IF((Y41&lt;AB55),Y41,AB55)),0)</f>
        <v>572566</v>
      </c>
      <c r="AC56" s="2351"/>
      <c r="AD56" s="2351"/>
      <c r="AE56" s="2351"/>
      <c r="AF56" s="2352"/>
    </row>
    <row r="57" spans="1:76" ht="12.95" customHeight="1">
      <c r="D57" s="404" t="s">
        <v>755</v>
      </c>
      <c r="AB57" s="2350">
        <f>ROUND((10*AB56*AB50),0)</f>
        <v>4866817</v>
      </c>
      <c r="AC57" s="2351"/>
      <c r="AD57" s="2351"/>
      <c r="AE57" s="2351"/>
      <c r="AF57" s="2352"/>
    </row>
    <row r="58" spans="1:76" ht="12.95" customHeight="1">
      <c r="D58" s="404"/>
      <c r="AB58" s="423"/>
      <c r="AC58" s="423"/>
      <c r="AD58" s="423"/>
      <c r="AE58" s="423"/>
      <c r="AF58" s="423"/>
    </row>
    <row r="59" spans="1:76" ht="12.95" customHeight="1">
      <c r="D59" s="404" t="s">
        <v>754</v>
      </c>
      <c r="AB59" s="2334">
        <f>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1248</v>
      </c>
      <c r="Y63" s="2345" t="s">
        <v>984</v>
      </c>
      <c r="Z63" s="2345"/>
      <c r="AA63" s="2345"/>
      <c r="AB63" s="2345"/>
      <c r="AC63" s="2345"/>
      <c r="AD63" s="2345" t="s">
        <v>369</v>
      </c>
      <c r="AE63" s="2345"/>
      <c r="AF63" s="2345"/>
      <c r="AG63" s="2345"/>
      <c r="AH63" s="234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v>
      </c>
      <c r="Z67" s="2335"/>
      <c r="AA67" s="2335"/>
      <c r="AB67" s="2335"/>
      <c r="AC67" s="2335"/>
      <c r="AD67" s="2335" cm="1">
        <f t="array" ref="AD67">_xlfn.IFS(Application!Z205="15% set-aside with qualifying low value rehab", 0.95,OR(Application!D211="At-Risk",'Points System'!B13="Yes"),0.13,TRUE,0)</f>
        <v>0.13</v>
      </c>
      <c r="AE67" s="2335"/>
      <c r="AF67" s="2335"/>
      <c r="AG67" s="2335"/>
      <c r="AH67" s="2335"/>
    </row>
    <row r="68" spans="1:36" ht="12.95" customHeight="1">
      <c r="C68" s="404"/>
      <c r="D68" s="205" t="s">
        <v>2226</v>
      </c>
      <c r="Y68" s="2336">
        <f>ROUND(Y64*Y67,0)</f>
        <v>0</v>
      </c>
      <c r="Z68" s="2337"/>
      <c r="AA68" s="2337"/>
      <c r="AB68" s="2337"/>
      <c r="AC68" s="2337"/>
      <c r="AD68" s="2336">
        <f>ROUND(AD64*AD67,0)</f>
        <v>0</v>
      </c>
      <c r="AE68" s="2337"/>
      <c r="AF68" s="2337"/>
      <c r="AG68" s="2337"/>
      <c r="AH68" s="2337"/>
    </row>
    <row r="69" spans="1:36" ht="12.95" customHeight="1">
      <c r="C69" s="404"/>
      <c r="D69" s="205" t="s">
        <v>2227</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38">
        <v>0.7</v>
      </c>
      <c r="AC72" s="2339"/>
      <c r="AD72" s="2339"/>
      <c r="AE72" s="2339"/>
      <c r="AF72" s="2340"/>
    </row>
    <row r="73" spans="1:36" ht="12.95"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9">
        <f>ROUND(IF(ISERROR((AB59/AB72)),0,(AB59/AB72)),0)</f>
        <v>0</v>
      </c>
      <c r="AC77" s="2329"/>
      <c r="AD77" s="2329"/>
      <c r="AE77" s="2329"/>
      <c r="AF77" s="2329"/>
    </row>
    <row r="78" spans="1:36" ht="12.95" customHeight="1">
      <c r="C78" s="404"/>
      <c r="D78" s="205" t="s">
        <v>1253</v>
      </c>
      <c r="AB78" s="2330">
        <f>ROUNDUP(MIN(Y69,AB77),0)</f>
        <v>0</v>
      </c>
      <c r="AC78" s="2331"/>
      <c r="AD78" s="2331"/>
      <c r="AE78" s="2331"/>
      <c r="AF78" s="2332"/>
    </row>
    <row r="79" spans="1:36" ht="12.95" customHeight="1">
      <c r="C79" s="404"/>
      <c r="D79" s="205" t="s">
        <v>1254</v>
      </c>
      <c r="AB79" s="2333">
        <f>AB78*AB72</f>
        <v>0</v>
      </c>
      <c r="AC79" s="2333"/>
      <c r="AD79" s="2333"/>
      <c r="AE79" s="2333"/>
      <c r="AF79" s="2333"/>
    </row>
    <row r="80" spans="1:36" ht="12.95" customHeight="1">
      <c r="C80" s="404"/>
      <c r="D80" s="404"/>
      <c r="AB80" s="425"/>
      <c r="AC80" s="425"/>
      <c r="AD80" s="425"/>
      <c r="AE80" s="425"/>
      <c r="AF80" s="425"/>
    </row>
    <row r="81" spans="1:78" ht="12.95" customHeight="1">
      <c r="D81" s="404" t="s">
        <v>754</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94" workbookViewId="0">
      <selection activeCell="AG268" sqref="AG268:AK26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545</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20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20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2034</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2250</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8" t="s">
        <v>591</v>
      </c>
      <c r="C33" s="2398"/>
      <c r="D33" s="547"/>
      <c r="E33" s="2434" t="s">
        <v>2252</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2253</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8" t="s">
        <v>591</v>
      </c>
      <c r="C40" s="2398"/>
      <c r="D40" s="547"/>
      <c r="E40" s="2399" t="s">
        <v>2251</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2009</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545</v>
      </c>
      <c r="C52" s="2398"/>
      <c r="D52" s="540"/>
      <c r="E52" s="2399" t="s">
        <v>2014</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545</v>
      </c>
      <c r="C56" s="2398"/>
      <c r="D56" s="540"/>
      <c r="E56" s="2419" t="s">
        <v>2015</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545</v>
      </c>
      <c r="C58" s="2398"/>
      <c r="D58" s="540"/>
      <c r="E58" s="2399" t="s">
        <v>2016</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20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591</v>
      </c>
      <c r="C68" s="2398"/>
      <c r="D68" s="547" t="s">
        <v>1315</v>
      </c>
      <c r="E68" s="2409" t="s">
        <v>2017</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591</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591</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545</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0.46190476190476187</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0.12999999999999995</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591</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0.46190476190476187</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0.46031746031746029</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1 Bedroom</v>
      </c>
      <c r="AQ112" s="536">
        <f>Application!O718</f>
        <v>603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8" t="s">
        <v>545</v>
      </c>
      <c r="C115" s="2398"/>
      <c r="D115" s="547" t="s">
        <v>1315</v>
      </c>
      <c r="E115" s="2409" t="s">
        <v>1858</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650</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1 Bedroom</v>
      </c>
      <c r="AQ116" s="536">
        <f>Application!O722</f>
        <v>1402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f>Application!B723</f>
        <v>0</v>
      </c>
      <c r="AQ117" s="536">
        <f>Application!O723</f>
        <v>0</v>
      </c>
      <c r="AU117" s="856" t="str">
        <f>J124</f>
        <v>1-bedroom</v>
      </c>
      <c r="AV117" s="536">
        <f t="array" ref="AV117">SUM(IF(Application!B718:F752="1 Bedroom",Application!G718:J752))</f>
        <v>63</v>
      </c>
      <c r="AW117" s="1011">
        <f>AV117/AV122</f>
        <v>1</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1 Bedroom</v>
      </c>
      <c r="AQ118" s="536">
        <f>Application!O724</f>
        <v>600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1 Bedroom</v>
      </c>
      <c r="AQ119" s="536">
        <f>Application!O725</f>
        <v>1352</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t="str">
        <f>Application!B728</f>
        <v>1 Bedroom</v>
      </c>
      <c r="AQ122" s="536">
        <f>Application!O728</f>
        <v>1355</v>
      </c>
      <c r="AV122" s="536">
        <f>SUM(AV116:AV121)</f>
        <v>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2155</v>
      </c>
      <c r="K127" s="2453"/>
      <c r="L127" s="2453"/>
      <c r="M127" s="2453"/>
      <c r="N127" s="864"/>
      <c r="O127" s="2453"/>
      <c r="P127" s="2453"/>
      <c r="Q127" s="2453"/>
      <c r="R127" s="2453"/>
      <c r="S127" s="864"/>
      <c r="T127" s="2453"/>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1017.9047619047618</v>
      </c>
      <c r="K130" s="2446"/>
      <c r="L130" s="2446"/>
      <c r="M130" s="2446"/>
      <c r="N130" s="864"/>
      <c r="O130" s="2446">
        <f>Application!EH670</f>
        <v>0</v>
      </c>
      <c r="P130" s="2446"/>
      <c r="Q130" s="2446"/>
      <c r="R130" s="2446"/>
      <c r="S130" s="868"/>
      <c r="T130" s="2446">
        <f>Application!EM670</f>
        <v>0</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0.52765440282841669</v>
      </c>
      <c r="K133" s="2395"/>
      <c r="L133" s="2395"/>
      <c r="M133" s="2645"/>
      <c r="N133" s="577"/>
      <c r="O133" s="2644" t="e">
        <f>(O127-O130)/O127</f>
        <v>#DIV/0!</v>
      </c>
      <c r="P133" s="2395"/>
      <c r="Q133" s="2395"/>
      <c r="R133" s="2645"/>
      <c r="S133" s="577"/>
      <c r="T133" s="2644" t="e">
        <f>(T127-T130)/T127</f>
        <v>#DIV/0!</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0.42765440282841671</v>
      </c>
      <c r="K136" s="2448"/>
      <c r="L136" s="2448"/>
      <c r="M136" s="2449"/>
      <c r="N136" s="577"/>
      <c r="O136" s="2447" t="e">
        <f>IF(((O133-0.1)*AW118)&gt;0,((O133-0.1)*AW118),0)</f>
        <v>#DIV/0!</v>
      </c>
      <c r="P136" s="2448"/>
      <c r="Q136" s="2448"/>
      <c r="R136" s="2449"/>
      <c r="S136" s="577"/>
      <c r="T136" s="2447" t="e">
        <f>IF(((T133-0.1)*AW119)&gt;0,((T133-0.1)*AW119),0)</f>
        <v>#DIV/0!</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0.42</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2751</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2477</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2478</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2476</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AWI Management Corporation</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1360</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2705</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Application!AO629</f>
        <v>2342068</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1827204.1799952092</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4169272.179995209</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2710</v>
      </c>
      <c r="C224" s="2461"/>
      <c r="D224" s="2461"/>
      <c r="E224" s="2461"/>
      <c r="F224" s="2461"/>
      <c r="G224" s="2461"/>
      <c r="H224" s="852"/>
      <c r="I224" s="2460">
        <v>19</v>
      </c>
      <c r="J224" s="2460"/>
      <c r="K224" s="2460"/>
      <c r="L224" s="1008"/>
      <c r="N224" s="2465">
        <f>1002-148</f>
        <v>854</v>
      </c>
      <c r="O224" s="2465"/>
      <c r="P224" s="2465"/>
      <c r="Q224" s="2465"/>
      <c r="R224" s="2465"/>
      <c r="T224" s="2613">
        <v>1144</v>
      </c>
      <c r="U224" s="2613"/>
      <c r="V224" s="2613"/>
      <c r="W224" s="2613"/>
      <c r="X224" s="2613"/>
      <c r="Y224" s="2613"/>
      <c r="Z224" s="851"/>
      <c r="AA224" s="851"/>
      <c r="AB224" s="2462">
        <f t="shared" ref="AB224:AB233" si="0">MAX(($T224-$N224)*$I224*12,0)</f>
        <v>66120</v>
      </c>
      <c r="AC224" s="2462"/>
      <c r="AD224" s="2462"/>
      <c r="AE224" s="2462"/>
      <c r="AF224" s="2462"/>
      <c r="AG224" s="2462"/>
      <c r="AH224" s="827"/>
      <c r="AI224" s="827"/>
      <c r="AJ224" s="827"/>
      <c r="AK224" s="610"/>
    </row>
    <row r="225" spans="1:37">
      <c r="A225" s="605"/>
      <c r="B225" s="2461" t="s">
        <v>2710</v>
      </c>
      <c r="C225" s="2461"/>
      <c r="D225" s="2461"/>
      <c r="E225" s="2461"/>
      <c r="F225" s="2461"/>
      <c r="G225" s="2461"/>
      <c r="I225" s="2460">
        <v>14</v>
      </c>
      <c r="J225" s="2460"/>
      <c r="K225" s="2460"/>
      <c r="L225" s="1008"/>
      <c r="N225" s="2465">
        <f>1002-101</f>
        <v>901</v>
      </c>
      <c r="O225" s="2465"/>
      <c r="P225" s="2465"/>
      <c r="Q225" s="2465"/>
      <c r="R225" s="2465"/>
      <c r="T225" s="2613">
        <v>1181</v>
      </c>
      <c r="U225" s="2613"/>
      <c r="V225" s="2613"/>
      <c r="W225" s="2613"/>
      <c r="X225" s="2613"/>
      <c r="Y225" s="2613"/>
      <c r="Z225" s="851"/>
      <c r="AA225" s="851"/>
      <c r="AB225" s="2462">
        <f t="shared" si="0"/>
        <v>47040</v>
      </c>
      <c r="AC225" s="2462"/>
      <c r="AD225" s="2462"/>
      <c r="AE225" s="2462"/>
      <c r="AF225" s="2462"/>
      <c r="AG225" s="2462"/>
      <c r="AH225" s="827"/>
      <c r="AI225" s="827"/>
      <c r="AJ225" s="827"/>
      <c r="AK225" s="610"/>
    </row>
    <row r="226" spans="1:37">
      <c r="A226" s="605"/>
      <c r="B226" s="2461" t="s">
        <v>2710</v>
      </c>
      <c r="C226" s="2461"/>
      <c r="D226" s="2461"/>
      <c r="E226" s="2461"/>
      <c r="F226" s="2461"/>
      <c r="G226" s="2461"/>
      <c r="I226" s="2460">
        <v>29</v>
      </c>
      <c r="J226" s="2460"/>
      <c r="K226" s="2460"/>
      <c r="L226" s="1008"/>
      <c r="N226" s="2465">
        <f>1002-151</f>
        <v>851</v>
      </c>
      <c r="O226" s="2465"/>
      <c r="P226" s="2465"/>
      <c r="Q226" s="2465"/>
      <c r="R226" s="2465"/>
      <c r="T226" s="2613">
        <v>1090</v>
      </c>
      <c r="U226" s="2613"/>
      <c r="V226" s="2613"/>
      <c r="W226" s="2613"/>
      <c r="X226" s="2613"/>
      <c r="Y226" s="2613"/>
      <c r="Z226" s="851"/>
      <c r="AA226" s="851"/>
      <c r="AB226" s="2462">
        <f t="shared" si="0"/>
        <v>83172</v>
      </c>
      <c r="AC226" s="2462"/>
      <c r="AD226" s="2462"/>
      <c r="AE226" s="2462"/>
      <c r="AF226" s="2462"/>
      <c r="AG226" s="2462"/>
      <c r="AH226" s="827"/>
      <c r="AI226" s="827"/>
      <c r="AJ226" s="827"/>
      <c r="AK226" s="610"/>
    </row>
    <row r="227" spans="1:37">
      <c r="A227" s="605"/>
      <c r="B227" s="2461" t="s">
        <v>2710</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196332</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196332</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186515.4</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162187.30434782608</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1827204.1799952092</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4169272.179995209</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16930589</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0.24</v>
      </c>
      <c r="AH270" s="2482"/>
      <c r="AI270" s="2482"/>
      <c r="AJ270" s="2482"/>
      <c r="AK270" s="24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545</v>
      </c>
      <c r="D278" s="2475"/>
      <c r="E278" s="547"/>
      <c r="F278" s="2632" t="s">
        <v>2025</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1" t="s">
        <v>591</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7" t="s">
        <v>2026</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5" t="s">
        <v>591</v>
      </c>
      <c r="D302" s="247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2020</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7" t="s">
        <v>2027</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5" t="s">
        <v>591</v>
      </c>
      <c r="D333" s="2475"/>
      <c r="E333" s="547"/>
      <c r="F333" s="2399" t="s">
        <v>2028</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0</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2093</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2208</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1879</v>
      </c>
    </row>
    <row r="362" spans="1:46" s="550" customFormat="1" ht="12.75" customHeight="1">
      <c r="A362" s="603"/>
      <c r="B362" s="611"/>
      <c r="C362" s="2539" t="s">
        <v>2233</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5">
        <f>Application!DU802-U374</f>
        <v>63</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591</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545</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591</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545</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26059914</v>
      </c>
      <c r="AQ550" s="2624"/>
      <c r="AR550" s="2624"/>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14320596</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46907845.200000003</v>
      </c>
      <c r="AG552" s="2629"/>
      <c r="AH552" s="2629"/>
      <c r="AI552" s="2629"/>
      <c r="AJ552" s="2629"/>
      <c r="AK552" s="595"/>
      <c r="AL552" s="595"/>
      <c r="AM552" s="595"/>
      <c r="AN552" s="597"/>
      <c r="AP552" s="2624">
        <f>Application!AJ1045</f>
        <v>0</v>
      </c>
      <c r="AQ552" s="2624"/>
      <c r="AR552" s="26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0.69</v>
      </c>
      <c r="AG553" s="2630"/>
      <c r="AH553" s="2630"/>
      <c r="AI553" s="2630"/>
      <c r="AJ553" s="2630"/>
      <c r="AK553" s="595"/>
      <c r="AL553" s="595"/>
      <c r="AM553" s="595"/>
      <c r="AN553" s="597"/>
      <c r="AP553" s="2627">
        <f>Application!AJ1049</f>
        <v>23975120.880000003</v>
      </c>
      <c r="AQ553" s="2627"/>
      <c r="AR553" s="262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2172</v>
      </c>
    </row>
    <row r="555" spans="1:49" s="550" customFormat="1" ht="12.75" customHeight="1">
      <c r="A555" s="624"/>
      <c r="B555" s="2560" t="s">
        <v>2032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26059914</v>
      </c>
      <c r="AQ556" s="2533"/>
      <c r="AR556" s="2533"/>
      <c r="AS556" s="550" t="s">
        <v>2174</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50035034.880000003</v>
      </c>
      <c r="AQ557" s="2624"/>
      <c r="AR557" s="26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46907845.200000003</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2023</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1397</v>
      </c>
      <c r="I606" s="2527"/>
      <c r="J606" s="936"/>
      <c r="K606" s="936"/>
      <c r="L606" s="936"/>
      <c r="N606" s="22"/>
      <c r="O606" s="22"/>
      <c r="P606" s="22"/>
      <c r="Q606" s="1151" t="s">
        <v>2177</v>
      </c>
      <c r="R606" s="2530" t="s">
        <v>2178</v>
      </c>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4</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591</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0</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2098</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509</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2</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63</v>
      </c>
    </row>
    <row r="691" spans="1:51" s="550" customFormat="1" ht="12.75" customHeight="1">
      <c r="A691" s="679"/>
      <c r="B691" s="536"/>
      <c r="C691" s="948"/>
      <c r="D691" s="663" t="s">
        <v>687</v>
      </c>
      <c r="E691" s="2534" t="s">
        <v>2190</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2185</v>
      </c>
      <c r="AX691" s="550">
        <f>Application!DE753</f>
        <v>0</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8" t="s">
        <v>2134</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2188</v>
      </c>
      <c r="AX694" s="550">
        <f>AX691+AX692+AX693</f>
        <v>0</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2189</v>
      </c>
      <c r="AX695" s="550">
        <f>IFERROR(AX694/AX690,0)</f>
        <v>0</v>
      </c>
      <c r="AY695" s="550">
        <f>IFERROR(AX694/(AX690-AX689),0)</f>
        <v>0</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8" t="s">
        <v>2135</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591</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8">
        <f>VLOOKUP($H$709,$AO$703:$AP$706,2,FALSE)</f>
        <v>0</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687</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8" t="s">
        <v>2033</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20</v>
      </c>
      <c r="U804" s="2557"/>
      <c r="V804" s="2557"/>
      <c r="W804" s="2557"/>
      <c r="X804" s="2557"/>
      <c r="Y804" s="2558"/>
      <c r="Z804" s="2559">
        <v>20</v>
      </c>
      <c r="AA804" s="2557"/>
      <c r="AB804" s="2557"/>
      <c r="AC804" s="2557"/>
      <c r="AD804" s="2557"/>
      <c r="AE804" s="2558"/>
      <c r="AF804" s="2540">
        <f>IF(T804&gt;Z804,Z804,T804)</f>
        <v>20</v>
      </c>
      <c r="AG804" s="2540"/>
      <c r="AH804" s="2540"/>
      <c r="AI804" s="2540"/>
      <c r="AJ804" s="2540"/>
      <c r="AK804" s="2540"/>
      <c r="AL804" s="818"/>
      <c r="AM804" s="596"/>
      <c r="AO804" s="816"/>
      <c r="AP804" s="816"/>
      <c r="AQ804" s="816"/>
    </row>
    <row r="805" spans="1:81">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0</v>
      </c>
      <c r="U805" s="2557"/>
      <c r="V805" s="2557"/>
      <c r="W805" s="2557"/>
      <c r="X805" s="2557"/>
      <c r="Y805" s="2558"/>
      <c r="Z805" s="2559">
        <v>10</v>
      </c>
      <c r="AA805" s="2557"/>
      <c r="AB805" s="2557"/>
      <c r="AC805" s="2557"/>
      <c r="AD805" s="2557"/>
      <c r="AE805" s="2558"/>
      <c r="AF805" s="2540">
        <f>IF(T805&gt;Z805,Z805,T805)</f>
        <v>0</v>
      </c>
      <c r="AG805" s="2540"/>
      <c r="AH805" s="2540"/>
      <c r="AI805" s="2540"/>
      <c r="AJ805" s="2540"/>
      <c r="AK805" s="2540"/>
      <c r="AL805" s="818"/>
      <c r="AM805" s="596"/>
      <c r="AO805" s="816"/>
      <c r="AP805" s="816"/>
      <c r="AQ805" s="816"/>
    </row>
    <row r="806" spans="1:81">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AK109</f>
        <v>20</v>
      </c>
      <c r="U806" s="2557"/>
      <c r="V806" s="2557"/>
      <c r="W806" s="2557"/>
      <c r="X806" s="2557"/>
      <c r="Y806" s="2558"/>
      <c r="Z806" s="2559">
        <v>20</v>
      </c>
      <c r="AA806" s="2557"/>
      <c r="AB806" s="2557"/>
      <c r="AC806" s="2557"/>
      <c r="AD806" s="2557"/>
      <c r="AE806" s="2558"/>
      <c r="AF806" s="2540">
        <f>IF(T806&gt;Z806,Z806,T806)</f>
        <v>20</v>
      </c>
      <c r="AG806" s="2540"/>
      <c r="AH806" s="2540"/>
      <c r="AI806" s="2540"/>
      <c r="AJ806" s="2540"/>
      <c r="AK806" s="2540"/>
      <c r="AL806" s="818"/>
      <c r="AM806" s="596"/>
      <c r="AO806" s="816"/>
      <c r="AP806" s="816"/>
      <c r="AQ806" s="816"/>
    </row>
    <row r="807" spans="1:81">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0</v>
      </c>
      <c r="U811" s="2580"/>
      <c r="V811" s="2580"/>
      <c r="W811" s="2580"/>
      <c r="X811" s="2580"/>
      <c r="Y811" s="2580"/>
      <c r="Z811" s="2540">
        <v>10</v>
      </c>
      <c r="AA811" s="2540"/>
      <c r="AB811" s="2540"/>
      <c r="AC811" s="2540"/>
      <c r="AD811" s="2540"/>
      <c r="AE811" s="2540"/>
      <c r="AF811" s="2540">
        <f>IF(T811&gt;Z811,Z811,T811)</f>
        <v>0</v>
      </c>
      <c r="AG811" s="2540"/>
      <c r="AH811" s="2540"/>
      <c r="AI811" s="2540"/>
      <c r="AJ811" s="2540"/>
      <c r="AK811" s="2540"/>
      <c r="AL811" s="818"/>
      <c r="AM811" s="596"/>
    </row>
    <row r="812" spans="1:81">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0</v>
      </c>
      <c r="U815" s="2580"/>
      <c r="V815" s="2580"/>
      <c r="W815" s="2580"/>
      <c r="X815" s="2580"/>
      <c r="Y815" s="2580"/>
      <c r="Z815" s="2586">
        <v>10</v>
      </c>
      <c r="AA815" s="2587"/>
      <c r="AB815" s="2587"/>
      <c r="AC815" s="2587"/>
      <c r="AD815" s="2587"/>
      <c r="AE815" s="2588"/>
      <c r="AF815" s="2586">
        <f>IF(T815&gt;Z815,Z815,T815)</f>
        <v>0</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0</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SUM(AF804:AK819)-AF820</f>
        <v>110</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504bce2-e203-4f99-864c-35e3ab7f6ae3">
      <Terms xmlns="http://schemas.microsoft.com/office/infopath/2007/PartnerControls"/>
    </lcf76f155ced4ddcb4097134ff3c332f>
    <TaxCatchAll xmlns="ec01f773-4609-4e40-8759-3d8aed77dd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6CCCDD4BA47E74AACDD75601B2F7F4E" ma:contentTypeVersion="14" ma:contentTypeDescription="Create a new document." ma:contentTypeScope="" ma:versionID="13c0f117cbd64c41c9478705dc62a8f3">
  <xsd:schema xmlns:xsd="http://www.w3.org/2001/XMLSchema" xmlns:xs="http://www.w3.org/2001/XMLSchema" xmlns:p="http://schemas.microsoft.com/office/2006/metadata/properties" xmlns:ns2="9504bce2-e203-4f99-864c-35e3ab7f6ae3" xmlns:ns3="ec01f773-4609-4e40-8759-3d8aed77ddf0" targetNamespace="http://schemas.microsoft.com/office/2006/metadata/properties" ma:root="true" ma:fieldsID="2aff3fa9f53864cc44e9f1ea7b1192a9" ns2:_="" ns3:_="">
    <xsd:import namespace="9504bce2-e203-4f99-864c-35e3ab7f6ae3"/>
    <xsd:import namespace="ec01f773-4609-4e40-8759-3d8aed77dd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4bce2-e203-4f99-864c-35e3ab7f6a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1f82ee5-bb65-4f26-be62-acdefe13949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01f773-4609-4e40-8759-3d8aed77ddf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c3c9d0-0882-4d46-88b5-2d34c7faea68}" ma:internalName="TaxCatchAll" ma:showField="CatchAllData" ma:web="ec01f773-4609-4e40-8759-3d8aed77dd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06254D-7F2E-45B6-A386-0F800BFA57C1}">
  <ds:schemaRefs>
    <ds:schemaRef ds:uri="http://schemas.microsoft.com/office/2006/metadata/properties"/>
    <ds:schemaRef ds:uri="http://schemas.microsoft.com/office/infopath/2007/PartnerControls"/>
    <ds:schemaRef ds:uri="9504bce2-e203-4f99-864c-35e3ab7f6ae3"/>
    <ds:schemaRef ds:uri="ec01f773-4609-4e40-8759-3d8aed77ddf0"/>
  </ds:schemaRefs>
</ds:datastoreItem>
</file>

<file path=customXml/itemProps2.xml><?xml version="1.0" encoding="utf-8"?>
<ds:datastoreItem xmlns:ds="http://schemas.openxmlformats.org/officeDocument/2006/customXml" ds:itemID="{6A77E7E3-72E7-427C-BA54-63CB5A81BDCC}">
  <ds:schemaRefs>
    <ds:schemaRef ds:uri="http://schemas.microsoft.com/sharepoint/v3/contenttype/forms"/>
  </ds:schemaRefs>
</ds:datastoreItem>
</file>

<file path=customXml/itemProps3.xml><?xml version="1.0" encoding="utf-8"?>
<ds:datastoreItem xmlns:ds="http://schemas.openxmlformats.org/officeDocument/2006/customXml" ds:itemID="{648B0F72-9394-4C8E-AAB5-19BFC1AD0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4bce2-e203-4f99-864c-35e3ab7f6ae3"/>
    <ds:schemaRef ds:uri="ec01f773-4609-4e40-8759-3d8aed77dd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2025-05-18T20:17:20Z</cp:lastPrinted>
  <dcterms:created xsi:type="dcterms:W3CDTF">2007-12-27T18:26:28Z</dcterms:created>
  <dcterms:modified xsi:type="dcterms:W3CDTF">2025-06-05T17:30:29Z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0x01010026CCCDD4BA47E74AACDD75601B2F7F4E</vt:lpwstr>
  </property>
  <property fmtid="{D5CDD505-2E9C-101B-9397-08002B2CF9AE}" pid="3" name="MediaServiceImageTags">
    <vt:lpwstr/>
  </property>
</Properties>
</file>